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9440" windowHeight="6690" tabRatio="817" activeTab="3"/>
  </bookViews>
  <sheets>
    <sheet name="Регион ФФПП 2019" sheetId="115" r:id="rId1"/>
    <sheet name="ИНП2019" sheetId="61" r:id="rId2"/>
    <sheet name="ИБР2019" sheetId="94" r:id="rId3"/>
    <sheet name="Регион сбалансир 2019" sheetId="117" r:id="rId4"/>
  </sheets>
  <definedNames>
    <definedName name="_xlnm.Print_Titles" localSheetId="2">ИБР2019!$A:$B</definedName>
    <definedName name="_xlnm.Print_Titles" localSheetId="1">ИНП2019!$A:$B,ИНП2019!$3:$8</definedName>
    <definedName name="_xlnm.Print_Titles" localSheetId="3">'Регион сбалансир 2019'!$A:$B</definedName>
    <definedName name="_xlnm.Print_Titles" localSheetId="0">'Регион ФФПП 2019'!$A:$B</definedName>
    <definedName name="_xlnm.Print_Area" localSheetId="2">ИБР2019!$A$1:$AR$22</definedName>
    <definedName name="_xlnm.Print_Area" localSheetId="1">ИНП2019!$A$1:$U$22</definedName>
    <definedName name="_xlnm.Print_Area" localSheetId="3">'Регион сбалансир 2019'!$A$1:$L$26</definedName>
    <definedName name="_xlnm.Print_Area" localSheetId="0">'Регион ФФПП 2019'!$A$1:$O$25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K20" i="117" l="1"/>
  <c r="J20" i="117"/>
  <c r="E20" i="117"/>
  <c r="K19" i="117"/>
  <c r="J19" i="117"/>
  <c r="E19" i="117"/>
  <c r="AO18" i="94"/>
  <c r="AL18" i="94"/>
  <c r="AI18" i="94"/>
  <c r="L18" i="94"/>
  <c r="AD18" i="94"/>
  <c r="AO17" i="94"/>
  <c r="AL17" i="94"/>
  <c r="AI17" i="94"/>
  <c r="L17" i="94"/>
  <c r="X17" i="94"/>
  <c r="R17" i="94" l="1"/>
  <c r="P18" i="94"/>
  <c r="X18" i="94"/>
  <c r="E17" i="94"/>
  <c r="T17" i="94"/>
  <c r="AB17" i="94"/>
  <c r="Z18" i="94"/>
  <c r="F17" i="94"/>
  <c r="G17" i="94" s="1"/>
  <c r="I17" i="94" s="1"/>
  <c r="V17" i="94"/>
  <c r="AD17" i="94"/>
  <c r="E18" i="94"/>
  <c r="T18" i="94"/>
  <c r="AB18" i="94"/>
  <c r="Z17" i="94"/>
  <c r="R18" i="94"/>
  <c r="N17" i="94"/>
  <c r="P17" i="94"/>
  <c r="F18" i="94"/>
  <c r="G18" i="94" s="1"/>
  <c r="I18" i="94" s="1"/>
  <c r="N18" i="94"/>
  <c r="V18" i="94"/>
  <c r="S19" i="61"/>
  <c r="O19" i="61"/>
  <c r="K19" i="61"/>
  <c r="G19" i="61"/>
  <c r="S18" i="61"/>
  <c r="O18" i="61"/>
  <c r="K18" i="61"/>
  <c r="G18" i="61"/>
  <c r="AP17" i="94" l="1"/>
  <c r="AP18" i="94"/>
  <c r="T19" i="61"/>
  <c r="F22" i="115" s="1"/>
  <c r="T18" i="61"/>
  <c r="F21" i="115" s="1"/>
  <c r="Q22" i="61"/>
  <c r="AQ18" i="94" l="1"/>
  <c r="AQ17" i="94"/>
  <c r="AJ22" i="94" l="1"/>
  <c r="AG22" i="94"/>
  <c r="AO10" i="94" l="1"/>
  <c r="AO11" i="94"/>
  <c r="AO12" i="94"/>
  <c r="AO13" i="94"/>
  <c r="AO14" i="94"/>
  <c r="AO15" i="94"/>
  <c r="AO16" i="94"/>
  <c r="AO19" i="94"/>
  <c r="AO20" i="94"/>
  <c r="AO21" i="94"/>
  <c r="AO9" i="94"/>
  <c r="AJ53" i="94"/>
  <c r="AL21" i="94"/>
  <c r="AL20" i="94"/>
  <c r="AL19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9" i="94"/>
  <c r="AI20" i="94"/>
  <c r="AI21" i="94"/>
  <c r="AI9" i="94"/>
  <c r="AC53" i="94"/>
  <c r="AL22" i="94" l="1"/>
  <c r="AG53" i="94"/>
  <c r="L9" i="94" l="1"/>
  <c r="L10" i="94"/>
  <c r="L11" i="94"/>
  <c r="L12" i="94"/>
  <c r="L13" i="94"/>
  <c r="L14" i="94"/>
  <c r="L15" i="94"/>
  <c r="L16" i="94"/>
  <c r="L19" i="94"/>
  <c r="L20" i="94"/>
  <c r="L21" i="94"/>
  <c r="J22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2" i="94" l="1"/>
  <c r="J14" i="117"/>
  <c r="J15" i="117"/>
  <c r="J16" i="117"/>
  <c r="J17" i="117"/>
  <c r="J18" i="117"/>
  <c r="J21" i="117"/>
  <c r="J22" i="117"/>
  <c r="J23" i="117"/>
  <c r="J24" i="117"/>
  <c r="J25" i="117"/>
  <c r="J13" i="117"/>
  <c r="E14" i="117"/>
  <c r="E15" i="117"/>
  <c r="K15" i="117" s="1"/>
  <c r="E16" i="117"/>
  <c r="E17" i="117"/>
  <c r="E18" i="117"/>
  <c r="E21" i="117"/>
  <c r="K21" i="117" s="1"/>
  <c r="E22" i="117"/>
  <c r="E23" i="117"/>
  <c r="E24" i="117"/>
  <c r="E25" i="117"/>
  <c r="K25" i="117" s="1"/>
  <c r="E13" i="117"/>
  <c r="F26" i="117"/>
  <c r="G26" i="117"/>
  <c r="H26" i="117"/>
  <c r="I26" i="117"/>
  <c r="K24" i="117" l="1"/>
  <c r="K18" i="117"/>
  <c r="K14" i="117"/>
  <c r="K23" i="117"/>
  <c r="K17" i="117"/>
  <c r="K13" i="117"/>
  <c r="K22" i="117"/>
  <c r="K16" i="117"/>
  <c r="J26" i="117"/>
  <c r="E26" i="117"/>
  <c r="A2" i="117"/>
  <c r="K26" i="117" l="1"/>
  <c r="L13" i="117"/>
  <c r="S10" i="61"/>
  <c r="S11" i="61"/>
  <c r="S12" i="61"/>
  <c r="S13" i="61"/>
  <c r="S14" i="61"/>
  <c r="S15" i="61"/>
  <c r="S16" i="61"/>
  <c r="S17" i="61"/>
  <c r="S20" i="61"/>
  <c r="S21" i="61"/>
  <c r="S9" i="61"/>
  <c r="K10" i="61"/>
  <c r="K11" i="61"/>
  <c r="K12" i="61"/>
  <c r="K13" i="61"/>
  <c r="K14" i="61"/>
  <c r="K15" i="61"/>
  <c r="K16" i="61"/>
  <c r="K17" i="61"/>
  <c r="K20" i="61"/>
  <c r="K21" i="61"/>
  <c r="K9" i="61"/>
  <c r="L20" i="117" l="1"/>
  <c r="L19" i="117"/>
  <c r="L17" i="117"/>
  <c r="L25" i="117"/>
  <c r="L18" i="117"/>
  <c r="L21" i="117"/>
  <c r="L14" i="117"/>
  <c r="L15" i="117"/>
  <c r="L23" i="117"/>
  <c r="L24" i="117"/>
  <c r="L22" i="117"/>
  <c r="L16" i="117"/>
  <c r="D26" i="117"/>
  <c r="L26" i="117" l="1"/>
  <c r="I22" i="61" l="1"/>
  <c r="O9" i="61"/>
  <c r="C26" i="117" l="1"/>
  <c r="F9" i="94"/>
  <c r="AD9" i="94" l="1"/>
  <c r="AB9" i="94"/>
  <c r="X9" i="94"/>
  <c r="T9" i="94"/>
  <c r="R9" i="94"/>
  <c r="N9" i="94"/>
  <c r="Z9" i="94"/>
  <c r="V9" i="94"/>
  <c r="P9" i="94"/>
  <c r="AD20" i="94"/>
  <c r="AB20" i="94"/>
  <c r="X20" i="94"/>
  <c r="R20" i="94"/>
  <c r="N20" i="94"/>
  <c r="Z20" i="94"/>
  <c r="V20" i="94"/>
  <c r="T20" i="94"/>
  <c r="P20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21" i="94"/>
  <c r="V21" i="94"/>
  <c r="T21" i="94"/>
  <c r="P21" i="94"/>
  <c r="AD21" i="94"/>
  <c r="AB21" i="94"/>
  <c r="X21" i="94"/>
  <c r="R21" i="94"/>
  <c r="N21" i="94"/>
  <c r="Z19" i="94"/>
  <c r="V19" i="94"/>
  <c r="T19" i="94"/>
  <c r="P19" i="94"/>
  <c r="AD19" i="94"/>
  <c r="AB19" i="94"/>
  <c r="X19" i="94"/>
  <c r="R19" i="94"/>
  <c r="N19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21" i="94"/>
  <c r="G21" i="94" s="1"/>
  <c r="I21" i="94" s="1"/>
  <c r="E21" i="94"/>
  <c r="F20" i="94"/>
  <c r="G20" i="94" s="1"/>
  <c r="I20" i="94" s="1"/>
  <c r="E20" i="94"/>
  <c r="F19" i="94"/>
  <c r="G19" i="94" s="1"/>
  <c r="I19" i="94" s="1"/>
  <c r="E19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3" i="94"/>
  <c r="C53" i="94"/>
  <c r="Z52" i="94"/>
  <c r="X52" i="94"/>
  <c r="V52" i="94"/>
  <c r="Z51" i="94"/>
  <c r="X51" i="94"/>
  <c r="V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C22" i="94"/>
  <c r="AP11" i="94" l="1"/>
  <c r="AQ11" i="94" s="1"/>
  <c r="AP13" i="94"/>
  <c r="AQ13" i="94" s="1"/>
  <c r="AP15" i="94"/>
  <c r="AP19" i="94"/>
  <c r="AP21" i="94"/>
  <c r="E22" i="94"/>
  <c r="AP10" i="94"/>
  <c r="AQ10" i="94" s="1"/>
  <c r="AP12" i="94"/>
  <c r="AQ12" i="94" s="1"/>
  <c r="AP14" i="94"/>
  <c r="AQ14" i="94" s="1"/>
  <c r="AP16" i="94"/>
  <c r="AQ16" i="94" s="1"/>
  <c r="AP20" i="94"/>
  <c r="AQ20" i="94" s="1"/>
  <c r="AO22" i="94"/>
  <c r="V53" i="94"/>
  <c r="Z53" i="94"/>
  <c r="AE22" i="94"/>
  <c r="AF22" i="94"/>
  <c r="AI22" i="94"/>
  <c r="V22" i="94"/>
  <c r="N22" i="94"/>
  <c r="T22" i="94"/>
  <c r="AB22" i="94"/>
  <c r="P22" i="94"/>
  <c r="Z22" i="94"/>
  <c r="R22" i="94"/>
  <c r="X22" i="94"/>
  <c r="AD22" i="94"/>
  <c r="F22" i="94"/>
  <c r="G9" i="94"/>
  <c r="I9" i="94" s="1"/>
  <c r="AP9" i="94" s="1"/>
  <c r="AQ9" i="94" s="1"/>
  <c r="X53" i="94"/>
  <c r="S22" i="61"/>
  <c r="O10" i="61"/>
  <c r="O11" i="61"/>
  <c r="O12" i="61"/>
  <c r="O13" i="61"/>
  <c r="O14" i="61"/>
  <c r="O15" i="61"/>
  <c r="O16" i="61"/>
  <c r="O17" i="61"/>
  <c r="O20" i="61"/>
  <c r="O21" i="61"/>
  <c r="L22" i="61"/>
  <c r="G9" i="61"/>
  <c r="T9" i="61" s="1"/>
  <c r="F12" i="115" s="1"/>
  <c r="G10" i="61"/>
  <c r="G11" i="61"/>
  <c r="G12" i="61"/>
  <c r="G13" i="61"/>
  <c r="G14" i="61"/>
  <c r="G15" i="61"/>
  <c r="G16" i="61"/>
  <c r="G17" i="61"/>
  <c r="G20" i="61"/>
  <c r="G21" i="61"/>
  <c r="C22" i="61"/>
  <c r="T14" i="61" l="1"/>
  <c r="F17" i="115" s="1"/>
  <c r="T12" i="61"/>
  <c r="F15" i="115" s="1"/>
  <c r="T10" i="61"/>
  <c r="F13" i="115" s="1"/>
  <c r="P22" i="61"/>
  <c r="G22" i="94"/>
  <c r="I22" i="94"/>
  <c r="T16" i="61"/>
  <c r="T20" i="61"/>
  <c r="F23" i="115" s="1"/>
  <c r="T21" i="61"/>
  <c r="F24" i="115" s="1"/>
  <c r="T17" i="61"/>
  <c r="F20" i="115" s="1"/>
  <c r="T15" i="61"/>
  <c r="T13" i="61"/>
  <c r="F16" i="115" s="1"/>
  <c r="T11" i="61"/>
  <c r="F14" i="115" s="1"/>
  <c r="AQ21" i="94"/>
  <c r="AQ15" i="94"/>
  <c r="AP22" i="94"/>
  <c r="AQ19" i="94"/>
  <c r="O22" i="61"/>
  <c r="F19" i="115" l="1"/>
  <c r="F18" i="115"/>
  <c r="AR9" i="94"/>
  <c r="E12" i="115" s="1"/>
  <c r="AR17" i="94"/>
  <c r="E20" i="115" s="1"/>
  <c r="AR18" i="94"/>
  <c r="E21" i="115" s="1"/>
  <c r="AR22" i="94"/>
  <c r="E25" i="115" s="1"/>
  <c r="AR13" i="94"/>
  <c r="E16" i="115" s="1"/>
  <c r="AR19" i="94"/>
  <c r="E22" i="115" s="1"/>
  <c r="AR10" i="94"/>
  <c r="E13" i="115" s="1"/>
  <c r="G13" i="115" s="1"/>
  <c r="AR12" i="94"/>
  <c r="E15" i="115" s="1"/>
  <c r="AR14" i="94"/>
  <c r="E17" i="115" s="1"/>
  <c r="AR16" i="94"/>
  <c r="AR20" i="94"/>
  <c r="E23" i="115" s="1"/>
  <c r="AR11" i="94"/>
  <c r="E14" i="115" s="1"/>
  <c r="G14" i="115" s="1"/>
  <c r="AR15" i="94"/>
  <c r="AR21" i="94"/>
  <c r="E24" i="115" s="1"/>
  <c r="AQ22" i="94"/>
  <c r="H21" i="115"/>
  <c r="H20" i="115"/>
  <c r="H15" i="115"/>
  <c r="C25" i="115"/>
  <c r="A2" i="115"/>
  <c r="G21" i="115" l="1"/>
  <c r="E19" i="115"/>
  <c r="G19" i="115" s="1"/>
  <c r="G20" i="115"/>
  <c r="E18" i="115"/>
  <c r="G18" i="115" s="1"/>
  <c r="H19" i="115"/>
  <c r="H18" i="115"/>
  <c r="G12" i="115"/>
  <c r="H24" i="115"/>
  <c r="G15" i="115"/>
  <c r="H16" i="115"/>
  <c r="H17" i="115"/>
  <c r="H22" i="115"/>
  <c r="H23" i="115"/>
  <c r="H13" i="115"/>
  <c r="H14" i="115"/>
  <c r="F25" i="115"/>
  <c r="J2" i="115" s="1"/>
  <c r="H12" i="115"/>
  <c r="G17" i="115"/>
  <c r="G23" i="115"/>
  <c r="G16" i="115"/>
  <c r="G22" i="115"/>
  <c r="G24" i="115"/>
  <c r="H25" i="115" l="1"/>
  <c r="G25" i="115"/>
  <c r="K22" i="61" l="1"/>
  <c r="H22" i="61"/>
  <c r="D22" i="61" l="1"/>
  <c r="G22" i="61"/>
  <c r="T22" i="61" l="1"/>
  <c r="U18" i="61" l="1"/>
  <c r="D21" i="115" s="1"/>
  <c r="U19" i="61"/>
  <c r="D22" i="115" s="1"/>
  <c r="U12" i="61"/>
  <c r="D15" i="115" s="1"/>
  <c r="I15" i="115" s="1"/>
  <c r="U11" i="61"/>
  <c r="D14" i="115" s="1"/>
  <c r="I14" i="115" s="1"/>
  <c r="U13" i="61"/>
  <c r="D16" i="115" s="1"/>
  <c r="I16" i="115" s="1"/>
  <c r="U15" i="61"/>
  <c r="U17" i="61"/>
  <c r="U21" i="61"/>
  <c r="D24" i="115" s="1"/>
  <c r="I24" i="115" s="1"/>
  <c r="U14" i="61"/>
  <c r="D17" i="115" s="1"/>
  <c r="I17" i="115" s="1"/>
  <c r="U16" i="61"/>
  <c r="U20" i="61"/>
  <c r="D23" i="115" s="1"/>
  <c r="I23" i="115" s="1"/>
  <c r="U9" i="61"/>
  <c r="D12" i="115" s="1"/>
  <c r="I12" i="115" s="1"/>
  <c r="U10" i="61"/>
  <c r="D13" i="115" s="1"/>
  <c r="I13" i="115" s="1"/>
  <c r="U22" i="61"/>
  <c r="D25" i="115" s="1"/>
  <c r="I22" i="115" l="1"/>
  <c r="D20" i="115"/>
  <c r="I20" i="115" s="1"/>
  <c r="J20" i="115" s="1"/>
  <c r="I21" i="115"/>
  <c r="J21" i="115" s="1"/>
  <c r="D19" i="115"/>
  <c r="I19" i="115" s="1"/>
  <c r="J19" i="115" s="1"/>
  <c r="D18" i="115"/>
  <c r="I18" i="115" s="1"/>
  <c r="J18" i="115" s="1"/>
  <c r="J13" i="115"/>
  <c r="J16" i="115"/>
  <c r="J17" i="115"/>
  <c r="J12" i="115"/>
  <c r="J24" i="115"/>
  <c r="J14" i="115"/>
  <c r="J23" i="115"/>
  <c r="J22" i="115"/>
  <c r="J15" i="115"/>
  <c r="I25" i="115" l="1"/>
  <c r="J25" i="115"/>
  <c r="K20" i="115" l="1"/>
  <c r="K18" i="115"/>
  <c r="K19" i="115"/>
  <c r="K15" i="115"/>
  <c r="K23" i="115"/>
  <c r="K12" i="115"/>
  <c r="K16" i="115"/>
  <c r="K22" i="115"/>
  <c r="K13" i="115"/>
  <c r="K17" i="115"/>
  <c r="K24" i="115"/>
  <c r="K21" i="115"/>
  <c r="K14" i="115"/>
  <c r="K25" i="115" l="1"/>
  <c r="L22" i="115" s="1"/>
  <c r="L23" i="115" l="1"/>
  <c r="L21" i="115"/>
  <c r="L19" i="115"/>
  <c r="L24" i="115"/>
  <c r="L12" i="115"/>
  <c r="N12" i="115" s="1"/>
  <c r="O12" i="115" s="1"/>
  <c r="L15" i="115"/>
  <c r="L18" i="115"/>
  <c r="L14" i="115"/>
  <c r="L20" i="115"/>
  <c r="L17" i="115"/>
  <c r="M12" i="115" l="1"/>
  <c r="M18" i="115"/>
  <c r="N18" i="115"/>
  <c r="O18" i="115" s="1"/>
  <c r="M19" i="115"/>
  <c r="N19" i="115"/>
  <c r="O19" i="115" s="1"/>
  <c r="N24" i="115"/>
  <c r="O24" i="115" s="1"/>
  <c r="M24" i="115"/>
  <c r="N13" i="115"/>
  <c r="O13" i="115" s="1"/>
  <c r="M13" i="115"/>
  <c r="N23" i="115"/>
  <c r="O23" i="115" s="1"/>
  <c r="M23" i="115"/>
  <c r="N17" i="115"/>
  <c r="O17" i="115" s="1"/>
  <c r="M17" i="115"/>
  <c r="N20" i="115"/>
  <c r="O20" i="115" s="1"/>
  <c r="M20" i="115"/>
  <c r="N14" i="115"/>
  <c r="O14" i="115" s="1"/>
  <c r="M14" i="115"/>
  <c r="N22" i="115"/>
  <c r="O22" i="115" s="1"/>
  <c r="M22" i="115"/>
  <c r="N21" i="115"/>
  <c r="O21" i="115" s="1"/>
  <c r="M21" i="115"/>
  <c r="N15" i="115"/>
  <c r="O15" i="115" s="1"/>
  <c r="M15" i="115"/>
  <c r="N16" i="115"/>
  <c r="O16" i="115" s="1"/>
  <c r="M16" i="115"/>
  <c r="L25" i="115"/>
  <c r="M25" i="115" l="1"/>
  <c r="O25" i="115"/>
  <c r="N25" i="115"/>
</calcChain>
</file>

<file path=xl/sharedStrings.xml><?xml version="1.0" encoding="utf-8"?>
<sst xmlns="http://schemas.openxmlformats.org/spreadsheetml/2006/main" count="385" uniqueCount="188">
  <si>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</si>
  <si>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</si>
  <si>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</si>
  <si>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</si>
  <si>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</si>
  <si>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</si>
  <si>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</si>
  <si>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</si>
  <si>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</si>
  <si>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</si>
  <si>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</si>
  <si>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</si>
  <si>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</si>
  <si>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</si>
  <si>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</si>
  <si>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</si>
  <si>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</si>
  <si>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</si>
  <si>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</si>
  <si>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</si>
  <si>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</si>
  <si>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</si>
  <si>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</si>
  <si>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</si>
  <si>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</si>
  <si>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</si>
  <si>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</si>
  <si>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</si>
  <si>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</si>
  <si>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</si>
  <si>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</si>
  <si>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</si>
  <si>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</si>
  <si>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</si>
  <si>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</si>
  <si>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</si>
  <si>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</si>
  <si>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</si>
  <si>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</si>
  <si>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</si>
  <si>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</si>
  <si>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</si>
  <si>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</si>
  <si>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</si>
  <si>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</si>
  <si>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</si>
  <si>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</si>
  <si>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</si>
  <si>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</si>
  <si>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</si>
  <si>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</si>
  <si>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</si>
  <si>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</si>
  <si>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</si>
  <si>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</si>
  <si>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</si>
  <si>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</si>
  <si>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</si>
  <si>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</si>
  <si>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</si>
  <si>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</si>
  <si>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</si>
  <si>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</si>
  <si>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</si>
  <si>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</si>
  <si>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</si>
  <si>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</si>
  <si>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</si>
  <si>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</si>
  <si>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</si>
  <si>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</si>
  <si>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</si>
  <si>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</si>
  <si>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</si>
  <si>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</si>
  <si>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</si>
  <si>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</si>
  <si>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</si>
  <si>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</si>
  <si>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</si>
  <si>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</si>
  <si>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</si>
  <si>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</si>
  <si>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</si>
  <si>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</si>
  <si>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</si>
  <si>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</si>
  <si>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</si>
  <si>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</si>
  <si>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</si>
  <si>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</si>
  <si>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</si>
  <si>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</si>
  <si>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</si>
  <si>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</si>
  <si>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</si>
  <si>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</si>
  <si>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</si>
  <si>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</si>
  <si>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</si>
  <si>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</si>
  <si>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</si>
  <si>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</si>
  <si>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</si>
  <si>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</si>
  <si>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за счет субвенций из областного бюджета, на 2017 год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</si>
  <si>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</si>
  <si>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</si>
  <si>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</si>
  <si>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</si>
  <si>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</si>
  <si>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</si>
  <si>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</si>
  <si>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</si>
  <si>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</si>
  <si>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</si>
  <si>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</si>
  <si>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</si>
  <si>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</si>
  <si>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</si>
  <si>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</si>
  <si>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</si>
  <si>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</si>
  <si>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</si>
  <si>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</si>
  <si>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</si>
  <si>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</si>
  <si>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</si>
  <si>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</si>
  <si>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</si>
  <si>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</si>
  <si>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</si>
  <si>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</si>
  <si>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</si>
  <si>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</si>
  <si>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</si>
  <si>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</si>
  <si>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</si>
  <si>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</si>
  <si>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</si>
  <si>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</si>
  <si>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</si>
  <si>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</si>
  <si>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</si>
  <si>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</si>
  <si>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</si>
  <si>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</si>
  <si>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</si>
  <si>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</si>
  <si>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</si>
  <si>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</si>
  <si>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</si>
  <si>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</si>
  <si>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</si>
  <si>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</si>
  <si>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</si>
  <si>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</si>
  <si>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</si>
  <si>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</si>
  <si>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</si>
  <si>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</si>
  <si>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</si>
  <si>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</si>
  <si>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</si>
  <si>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</si>
  <si>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</si>
  <si>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</si>
  <si>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Мглинское городское</t>
  </si>
  <si>
    <t>Беловодское</t>
  </si>
  <si>
    <t>Вельжичское</t>
  </si>
  <si>
    <t>Ветлевское</t>
  </si>
  <si>
    <t>Высокское</t>
  </si>
  <si>
    <t>Краснокосаровское</t>
  </si>
  <si>
    <t>Молодьковское</t>
  </si>
  <si>
    <t>Новоромановское</t>
  </si>
  <si>
    <t>Новочешуйковское</t>
  </si>
  <si>
    <t>Осколковское</t>
  </si>
  <si>
    <t>Симонтовское</t>
  </si>
  <si>
    <t>Соколовское</t>
  </si>
  <si>
    <t>Шумаровское</t>
  </si>
  <si>
    <t>12</t>
  </si>
  <si>
    <t>13</t>
  </si>
  <si>
    <t>Численность постоянного населения на 01.01.2017, чел.</t>
  </si>
  <si>
    <t>Численность постоянного населения на 1.01.2017, чел.</t>
  </si>
  <si>
    <t xml:space="preserve">Доля налога в оценке ФОТ (2017 год) </t>
  </si>
  <si>
    <t>РАСЧЕТ индекса бюджетных расходов на 2019 год</t>
  </si>
  <si>
    <t>РАСЧЕТ индекса налогового потенциала на 2019 год</t>
  </si>
  <si>
    <t>предоставляемых за счет субвенций из областного бюджета,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</si>
</sst>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8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wrapText="1"/>
    </xf>
    <xf numFmtId="3" fontId="46" fillId="2" borderId="1" xfId="2" applyNumberFormat="1" applyFont="1" applyFill="1" applyBorder="1"/>
    <xf numFmtId="3" fontId="46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6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9" fillId="0" borderId="0" xfId="2" applyNumberFormat="1" applyFont="1"/>
    <xf numFmtId="3" fontId="52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6" fillId="4" borderId="1" xfId="2" applyNumberFormat="1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7"/>
  <sheetViews>
    <sheetView zoomScale="86" zoomScaleNormal="86" zoomScaleSheetLayoutView="85" workbookViewId="0">
      <selection activeCell="L23" sqref="L23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69">
        <f ca="1">NOW()</f>
        <v>43623.451371527779</v>
      </c>
      <c r="B2" s="169"/>
      <c r="C2" s="108" t="s">
        <v>98</v>
      </c>
      <c r="D2" s="106"/>
      <c r="E2" s="106"/>
      <c r="F2" s="106"/>
      <c r="G2" s="106"/>
      <c r="H2" s="106"/>
      <c r="I2" s="88"/>
      <c r="J2" s="89">
        <f>(F25+L2)/F25</f>
        <v>1.0468886105813311</v>
      </c>
      <c r="K2" s="88"/>
      <c r="L2" s="90">
        <v>696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4"/>
      <c r="B3" s="104"/>
      <c r="C3" s="108" t="s">
        <v>99</v>
      </c>
      <c r="D3" s="106"/>
      <c r="E3" s="106"/>
      <c r="F3" s="106"/>
      <c r="G3" s="106"/>
      <c r="H3" s="106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4"/>
      <c r="B4" s="104"/>
      <c r="C4" s="108" t="s">
        <v>187</v>
      </c>
      <c r="D4" s="106"/>
      <c r="E4" s="106"/>
      <c r="F4" s="106"/>
      <c r="G4" s="106"/>
      <c r="H4" s="106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4"/>
      <c r="B5" s="104"/>
      <c r="C5" s="108" t="s">
        <v>100</v>
      </c>
      <c r="D5" s="106"/>
      <c r="E5" s="106"/>
      <c r="F5" s="106"/>
      <c r="G5" s="106"/>
      <c r="H5" s="106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9</v>
      </c>
      <c r="B6" s="2"/>
      <c r="C6" s="107"/>
      <c r="D6" s="107"/>
      <c r="E6" s="107"/>
      <c r="F6" s="107"/>
      <c r="G6" s="107"/>
      <c r="H6" s="107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70" t="s">
        <v>1</v>
      </c>
      <c r="B7" s="170" t="s">
        <v>2</v>
      </c>
      <c r="C7" s="171" t="s">
        <v>182</v>
      </c>
      <c r="D7" s="170" t="s">
        <v>3</v>
      </c>
      <c r="E7" s="170" t="s">
        <v>22</v>
      </c>
      <c r="F7" s="170" t="s">
        <v>20</v>
      </c>
      <c r="G7" s="168" t="s">
        <v>23</v>
      </c>
      <c r="H7" s="170" t="s">
        <v>19</v>
      </c>
      <c r="I7" s="170" t="s">
        <v>104</v>
      </c>
      <c r="J7" s="170" t="s">
        <v>21</v>
      </c>
      <c r="K7" s="170" t="s">
        <v>101</v>
      </c>
      <c r="L7" s="10">
        <v>1</v>
      </c>
      <c r="M7" s="170" t="s">
        <v>164</v>
      </c>
      <c r="N7" s="168" t="s">
        <v>103</v>
      </c>
      <c r="O7" s="168" t="s">
        <v>115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70"/>
      <c r="B8" s="170"/>
      <c r="C8" s="171"/>
      <c r="D8" s="170"/>
      <c r="E8" s="170"/>
      <c r="F8" s="170"/>
      <c r="G8" s="168"/>
      <c r="H8" s="170"/>
      <c r="I8" s="170"/>
      <c r="J8" s="170"/>
      <c r="K8" s="170"/>
      <c r="L8" s="168" t="s">
        <v>102</v>
      </c>
      <c r="M8" s="170"/>
      <c r="N8" s="168"/>
      <c r="O8" s="168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70"/>
      <c r="B9" s="170"/>
      <c r="C9" s="171"/>
      <c r="D9" s="170"/>
      <c r="E9" s="170"/>
      <c r="F9" s="170"/>
      <c r="G9" s="168"/>
      <c r="H9" s="170"/>
      <c r="I9" s="170"/>
      <c r="J9" s="170"/>
      <c r="K9" s="170"/>
      <c r="L9" s="173"/>
      <c r="M9" s="170"/>
      <c r="N9" s="168"/>
      <c r="O9" s="168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74" t="s">
        <v>41</v>
      </c>
      <c r="B10" s="175"/>
      <c r="C10" s="20">
        <v>1</v>
      </c>
      <c r="D10" s="20">
        <v>2</v>
      </c>
      <c r="E10" s="20">
        <v>3</v>
      </c>
      <c r="F10" s="20">
        <v>4</v>
      </c>
      <c r="G10" s="20" t="s">
        <v>38</v>
      </c>
      <c r="H10" s="20" t="s">
        <v>39</v>
      </c>
      <c r="I10" s="20" t="s">
        <v>17</v>
      </c>
      <c r="J10" s="20" t="s">
        <v>162</v>
      </c>
      <c r="K10" s="20" t="s">
        <v>18</v>
      </c>
      <c r="L10" s="20" t="s">
        <v>42</v>
      </c>
      <c r="M10" s="20" t="s">
        <v>37</v>
      </c>
      <c r="N10" s="20" t="s">
        <v>93</v>
      </c>
      <c r="O10" s="20" t="s">
        <v>94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3" customFormat="1" x14ac:dyDescent="0.2">
      <c r="A11" s="176"/>
      <c r="B11" s="177"/>
      <c r="C11" s="98" t="s">
        <v>40</v>
      </c>
      <c r="D11" s="98" t="s">
        <v>12</v>
      </c>
      <c r="E11" s="98" t="s">
        <v>13</v>
      </c>
      <c r="F11" s="99"/>
      <c r="G11" s="100"/>
      <c r="H11" s="100"/>
      <c r="I11" s="100"/>
      <c r="J11" s="98"/>
      <c r="K11" s="100"/>
      <c r="L11" s="101">
        <v>696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22.5" customHeight="1" x14ac:dyDescent="0.25">
      <c r="A12" s="30" t="s">
        <v>28</v>
      </c>
      <c r="B12" s="55" t="s">
        <v>167</v>
      </c>
      <c r="C12" s="133">
        <v>7884</v>
      </c>
      <c r="D12" s="14">
        <f>ИНП2019!U9</f>
        <v>1.71668</v>
      </c>
      <c r="E12" s="14">
        <f>ИБР2019!AR9</f>
        <v>0.61385999999999996</v>
      </c>
      <c r="F12" s="16">
        <f>ИНП2019!T9</f>
        <v>11340</v>
      </c>
      <c r="G12" s="17">
        <f>F12/E12</f>
        <v>18473.267520281497</v>
      </c>
      <c r="H12" s="19">
        <f>F12/C12</f>
        <v>1.4383561643835616</v>
      </c>
      <c r="I12" s="13">
        <f>D12/E12</f>
        <v>2.7965334115270584</v>
      </c>
      <c r="J12" s="109">
        <f>IF(I12&lt;$J$2,$J$2*($J$2-I12)*E12*C12,0)</f>
        <v>0</v>
      </c>
      <c r="K12" s="15">
        <f>J12/$J$25</f>
        <v>0</v>
      </c>
      <c r="L12" s="164">
        <f>ROUND($L$11*K12/$K$25,3)</f>
        <v>0</v>
      </c>
      <c r="M12" s="13">
        <f>I12+L12/(C12*E12*$J$2)</f>
        <v>2.7965334115270584</v>
      </c>
      <c r="N12" s="113">
        <f>ROUND((G12+L12),1)</f>
        <v>18473.3</v>
      </c>
      <c r="O12" s="114">
        <f>ROUND(N12/C12,3)</f>
        <v>2.343</v>
      </c>
    </row>
    <row r="13" spans="1:32" s="7" customFormat="1" ht="22.5" customHeight="1" x14ac:dyDescent="0.25">
      <c r="A13" s="30" t="s">
        <v>24</v>
      </c>
      <c r="B13" s="64" t="s">
        <v>168</v>
      </c>
      <c r="C13" s="133">
        <v>818</v>
      </c>
      <c r="D13" s="14">
        <f>ИНП2019!U10</f>
        <v>0.19805</v>
      </c>
      <c r="E13" s="14">
        <f>ИБР2019!AR10</f>
        <v>1.31088</v>
      </c>
      <c r="F13" s="16">
        <f>ИНП2019!T10</f>
        <v>135.74</v>
      </c>
      <c r="G13" s="17">
        <f t="shared" ref="G13:G24" si="0">F13/E13</f>
        <v>103.54876113755645</v>
      </c>
      <c r="H13" s="19">
        <f t="shared" ref="H13:H24" si="1">F13/C13</f>
        <v>0.16594132029339853</v>
      </c>
      <c r="I13" s="13">
        <f t="shared" ref="I13:I24" si="2">D13/E13</f>
        <v>0.151081716099109</v>
      </c>
      <c r="J13" s="109">
        <f t="shared" ref="J13:J24" si="3">IF(I13&lt;$J$2,$J$2*($J$2-I13)*E13*C13,0)</f>
        <v>1005.6135506027833</v>
      </c>
      <c r="K13" s="15">
        <f t="shared" ref="K13:K24" si="4">J13/$J$25</f>
        <v>0.10330551857335038</v>
      </c>
      <c r="L13" s="164">
        <v>71.900000000000006</v>
      </c>
      <c r="M13" s="13">
        <f t="shared" ref="M13:M24" si="5">I13+L13/(C13*E13*$J$2)</f>
        <v>0.21513068965825022</v>
      </c>
      <c r="N13" s="113">
        <f t="shared" ref="N13:N24" si="6">ROUND((G13+L13),1)</f>
        <v>175.4</v>
      </c>
      <c r="O13" s="114">
        <f t="shared" ref="O13:O24" si="7">ROUND(N13/C13,3)</f>
        <v>0.214</v>
      </c>
    </row>
    <row r="14" spans="1:32" s="7" customFormat="1" ht="22.5" customHeight="1" x14ac:dyDescent="0.25">
      <c r="A14" s="30" t="s">
        <v>27</v>
      </c>
      <c r="B14" s="64" t="s">
        <v>169</v>
      </c>
      <c r="C14" s="133">
        <v>697</v>
      </c>
      <c r="D14" s="14">
        <f>ИНП2019!U11</f>
        <v>0.36958000000000002</v>
      </c>
      <c r="E14" s="14">
        <f>ИБР2019!AR11</f>
        <v>1.41381</v>
      </c>
      <c r="F14" s="16">
        <f>ИНП2019!T11</f>
        <v>215.82999999999998</v>
      </c>
      <c r="G14" s="17">
        <f t="shared" si="0"/>
        <v>152.65841944815782</v>
      </c>
      <c r="H14" s="19">
        <f t="shared" si="1"/>
        <v>0.30965566714490672</v>
      </c>
      <c r="I14" s="13">
        <f t="shared" si="2"/>
        <v>0.26140711976856862</v>
      </c>
      <c r="J14" s="109">
        <f t="shared" si="3"/>
        <v>810.32690331492336</v>
      </c>
      <c r="K14" s="15">
        <f t="shared" si="4"/>
        <v>8.3243946852851428E-2</v>
      </c>
      <c r="L14" s="164">
        <f t="shared" ref="L14:L24" si="8">ROUND($L$11*K14/$K$25,3)</f>
        <v>57.938000000000002</v>
      </c>
      <c r="M14" s="13">
        <f t="shared" si="5"/>
        <v>0.31756868422920609</v>
      </c>
      <c r="N14" s="113">
        <f t="shared" si="6"/>
        <v>210.6</v>
      </c>
      <c r="O14" s="114">
        <f t="shared" si="7"/>
        <v>0.30199999999999999</v>
      </c>
    </row>
    <row r="15" spans="1:32" s="18" customFormat="1" ht="22.5" customHeight="1" x14ac:dyDescent="0.25">
      <c r="A15" s="30" t="s">
        <v>25</v>
      </c>
      <c r="B15" s="64" t="s">
        <v>170</v>
      </c>
      <c r="C15" s="133">
        <v>1250</v>
      </c>
      <c r="D15" s="14">
        <f>ИНП2019!U12</f>
        <v>0.44053999999999999</v>
      </c>
      <c r="E15" s="14">
        <f>ИБР2019!AR12</f>
        <v>1.2403200000000001</v>
      </c>
      <c r="F15" s="16">
        <f>ИНП2019!T12</f>
        <v>461.39</v>
      </c>
      <c r="G15" s="25">
        <f t="shared" si="0"/>
        <v>371.99271155830752</v>
      </c>
      <c r="H15" s="26">
        <f t="shared" si="1"/>
        <v>0.369112</v>
      </c>
      <c r="I15" s="27">
        <f t="shared" si="2"/>
        <v>0.35518253353973167</v>
      </c>
      <c r="J15" s="109">
        <f t="shared" si="3"/>
        <v>1122.705437268922</v>
      </c>
      <c r="K15" s="15">
        <f t="shared" si="4"/>
        <v>0.11533423284985025</v>
      </c>
      <c r="L15" s="164">
        <f t="shared" si="8"/>
        <v>80.272999999999996</v>
      </c>
      <c r="M15" s="13">
        <f t="shared" si="5"/>
        <v>0.40463924772242099</v>
      </c>
      <c r="N15" s="113">
        <f t="shared" si="6"/>
        <v>452.3</v>
      </c>
      <c r="O15" s="114">
        <f t="shared" si="7"/>
        <v>0.36199999999999999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8" customFormat="1" ht="22.5" customHeight="1" x14ac:dyDescent="0.25">
      <c r="A16" s="30" t="s">
        <v>29</v>
      </c>
      <c r="B16" s="64" t="s">
        <v>171</v>
      </c>
      <c r="C16" s="133">
        <v>746</v>
      </c>
      <c r="D16" s="14">
        <f>ИНП2019!U13</f>
        <v>0.68786000000000003</v>
      </c>
      <c r="E16" s="14">
        <f>ИБР2019!AR13</f>
        <v>1.3129200000000001</v>
      </c>
      <c r="F16" s="16">
        <f>ИНП2019!T13</f>
        <v>429.95</v>
      </c>
      <c r="G16" s="25">
        <f t="shared" si="0"/>
        <v>327.47616000974921</v>
      </c>
      <c r="H16" s="26">
        <f t="shared" si="1"/>
        <v>0.5763404825737265</v>
      </c>
      <c r="I16" s="27">
        <f t="shared" si="2"/>
        <v>0.52391615635377631</v>
      </c>
      <c r="J16" s="109">
        <f t="shared" si="3"/>
        <v>536.23651148191175</v>
      </c>
      <c r="K16" s="15">
        <f t="shared" si="4"/>
        <v>5.5086957473273655E-2</v>
      </c>
      <c r="L16" s="164">
        <v>38.340000000000003</v>
      </c>
      <c r="M16" s="13">
        <f t="shared" si="5"/>
        <v>0.56130779878348203</v>
      </c>
      <c r="N16" s="113">
        <f t="shared" si="6"/>
        <v>365.8</v>
      </c>
      <c r="O16" s="114">
        <f t="shared" si="7"/>
        <v>0.49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8" customFormat="1" ht="22.5" customHeight="1" x14ac:dyDescent="0.25">
      <c r="A17" s="30" t="s">
        <v>30</v>
      </c>
      <c r="B17" s="64" t="s">
        <v>172</v>
      </c>
      <c r="C17" s="133">
        <v>1044</v>
      </c>
      <c r="D17" s="14">
        <f>ИНП2019!U14</f>
        <v>0.48307</v>
      </c>
      <c r="E17" s="14">
        <f>ИБР2019!AR14</f>
        <v>1.2403200000000001</v>
      </c>
      <c r="F17" s="16">
        <f>ИНП2019!T14</f>
        <v>422.56</v>
      </c>
      <c r="G17" s="25">
        <f t="shared" si="0"/>
        <v>340.68627450980392</v>
      </c>
      <c r="H17" s="26">
        <f t="shared" si="1"/>
        <v>0.40475095785440612</v>
      </c>
      <c r="I17" s="27">
        <f t="shared" si="2"/>
        <v>0.38947207172342618</v>
      </c>
      <c r="J17" s="109">
        <f t="shared" si="3"/>
        <v>891.20034500422662</v>
      </c>
      <c r="K17" s="15">
        <f t="shared" si="4"/>
        <v>9.1551982109056101E-2</v>
      </c>
      <c r="L17" s="164">
        <f t="shared" si="8"/>
        <v>63.72</v>
      </c>
      <c r="M17" s="13">
        <f t="shared" si="5"/>
        <v>0.43647674591464525</v>
      </c>
      <c r="N17" s="113">
        <f t="shared" si="6"/>
        <v>404.4</v>
      </c>
      <c r="O17" s="114">
        <f t="shared" si="7"/>
        <v>0.38700000000000001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8" customFormat="1" ht="22.5" customHeight="1" x14ac:dyDescent="0.25">
      <c r="A18" s="30" t="s">
        <v>26</v>
      </c>
      <c r="B18" s="64" t="s">
        <v>173</v>
      </c>
      <c r="C18" s="133">
        <v>586</v>
      </c>
      <c r="D18" s="14">
        <f>ИНП2019!U15</f>
        <v>0.37162000000000001</v>
      </c>
      <c r="E18" s="14">
        <f>ИБР2019!AR15</f>
        <v>1.3782799999999999</v>
      </c>
      <c r="F18" s="16">
        <f>ИНП2019!T15</f>
        <v>182.46</v>
      </c>
      <c r="G18" s="25">
        <f t="shared" ref="G18:G19" si="9">F18/E18</f>
        <v>132.38238964506488</v>
      </c>
      <c r="H18" s="26">
        <f t="shared" ref="H18:H19" si="10">F18/C18</f>
        <v>0.31136518771331062</v>
      </c>
      <c r="I18" s="27">
        <f t="shared" ref="I18:I19" si="11">D18/E18</f>
        <v>0.26962591055518476</v>
      </c>
      <c r="J18" s="109">
        <f t="shared" ref="J18:J19" si="12">IF(I18&lt;$J$2,$J$2*($J$2-I18)*E18*C18,0)</f>
        <v>657.20880326141435</v>
      </c>
      <c r="K18" s="15">
        <f t="shared" ref="K18:K19" si="13">J18/$J$25</f>
        <v>6.7514301285215295E-2</v>
      </c>
      <c r="L18" s="164">
        <f t="shared" si="8"/>
        <v>46.99</v>
      </c>
      <c r="M18" s="13">
        <f t="shared" ref="M18:M19" si="14">I18+L18/(C18*E18*$J$2)</f>
        <v>0.32519968572827967</v>
      </c>
      <c r="N18" s="113">
        <f t="shared" ref="N18:N19" si="15">ROUND((G18+L18),1)</f>
        <v>179.4</v>
      </c>
      <c r="O18" s="114">
        <f t="shared" ref="O18:O19" si="16">ROUND(N18/C18,3)</f>
        <v>0.30599999999999999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8" customFormat="1" ht="22.5" customHeight="1" x14ac:dyDescent="0.25">
      <c r="A19" s="30" t="s">
        <v>31</v>
      </c>
      <c r="B19" s="64" t="s">
        <v>174</v>
      </c>
      <c r="C19" s="133">
        <v>1448</v>
      </c>
      <c r="D19" s="14">
        <f>ИНП2019!U16</f>
        <v>0.47786000000000001</v>
      </c>
      <c r="E19" s="14">
        <f>ИБР2019!AR16</f>
        <v>1.27616</v>
      </c>
      <c r="F19" s="16">
        <f>ИНП2019!T16</f>
        <v>579.76</v>
      </c>
      <c r="G19" s="25">
        <f t="shared" si="9"/>
        <v>454.30040120361082</v>
      </c>
      <c r="H19" s="26">
        <f t="shared" si="10"/>
        <v>0.40038674033149169</v>
      </c>
      <c r="I19" s="27">
        <f t="shared" si="11"/>
        <v>0.37445147943831497</v>
      </c>
      <c r="J19" s="109">
        <f t="shared" si="12"/>
        <v>1300.845896932286</v>
      </c>
      <c r="K19" s="15">
        <f t="shared" si="13"/>
        <v>0.13363439651947046</v>
      </c>
      <c r="L19" s="164">
        <f t="shared" si="8"/>
        <v>93.01</v>
      </c>
      <c r="M19" s="13">
        <f t="shared" si="14"/>
        <v>0.42253048534908777</v>
      </c>
      <c r="N19" s="113">
        <f t="shared" si="15"/>
        <v>547.29999999999995</v>
      </c>
      <c r="O19" s="114">
        <f t="shared" si="16"/>
        <v>0.378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8" customFormat="1" ht="22.5" customHeight="1" x14ac:dyDescent="0.25">
      <c r="A20" s="30" t="s">
        <v>32</v>
      </c>
      <c r="B20" s="64" t="s">
        <v>175</v>
      </c>
      <c r="C20" s="133">
        <v>741</v>
      </c>
      <c r="D20" s="14">
        <f>ИНП2019!U17</f>
        <v>0.32888000000000001</v>
      </c>
      <c r="E20" s="14">
        <f>ИБР2019!AR17</f>
        <v>1.3364199999999999</v>
      </c>
      <c r="F20" s="16">
        <f>ИНП2019!T17</f>
        <v>204.19</v>
      </c>
      <c r="G20" s="25">
        <f t="shared" si="0"/>
        <v>152.78879394202423</v>
      </c>
      <c r="H20" s="26">
        <f t="shared" si="1"/>
        <v>0.27556005398110661</v>
      </c>
      <c r="I20" s="27">
        <f t="shared" si="2"/>
        <v>0.24609030095329315</v>
      </c>
      <c r="J20" s="109">
        <f t="shared" si="3"/>
        <v>830.20395334414036</v>
      </c>
      <c r="K20" s="15">
        <f t="shared" si="4"/>
        <v>8.528589324443081E-2</v>
      </c>
      <c r="L20" s="164">
        <f t="shared" si="8"/>
        <v>59.359000000000002</v>
      </c>
      <c r="M20" s="13">
        <f t="shared" si="5"/>
        <v>0.3033468180654279</v>
      </c>
      <c r="N20" s="113">
        <f t="shared" si="6"/>
        <v>212.1</v>
      </c>
      <c r="O20" s="114">
        <f t="shared" si="7"/>
        <v>0.28599999999999998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8" customFormat="1" ht="22.5" customHeight="1" x14ac:dyDescent="0.25">
      <c r="A21" s="30" t="s">
        <v>4</v>
      </c>
      <c r="B21" s="64" t="s">
        <v>176</v>
      </c>
      <c r="C21" s="133">
        <v>637</v>
      </c>
      <c r="D21" s="14">
        <f>ИНП2019!U18</f>
        <v>0.33287</v>
      </c>
      <c r="E21" s="14">
        <f>ИБР2019!AR18</f>
        <v>1.39835</v>
      </c>
      <c r="F21" s="16">
        <f>ИНП2019!T18</f>
        <v>177.66</v>
      </c>
      <c r="G21" s="25">
        <f t="shared" si="0"/>
        <v>127.04973719025995</v>
      </c>
      <c r="H21" s="26">
        <f t="shared" si="1"/>
        <v>0.27890109890109888</v>
      </c>
      <c r="I21" s="27">
        <f t="shared" si="2"/>
        <v>0.2380448385597311</v>
      </c>
      <c r="J21" s="109">
        <f t="shared" si="3"/>
        <v>754.25889396716207</v>
      </c>
      <c r="K21" s="15">
        <f t="shared" si="4"/>
        <v>7.7484145010907252E-2</v>
      </c>
      <c r="L21" s="164">
        <f t="shared" si="8"/>
        <v>53.929000000000002</v>
      </c>
      <c r="M21" s="13">
        <f t="shared" si="5"/>
        <v>0.29587662036600826</v>
      </c>
      <c r="N21" s="113">
        <f t="shared" si="6"/>
        <v>181</v>
      </c>
      <c r="O21" s="114">
        <f t="shared" si="7"/>
        <v>0.28399999999999997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8" customFormat="1" ht="22.5" customHeight="1" x14ac:dyDescent="0.25">
      <c r="A22" s="30" t="s">
        <v>5</v>
      </c>
      <c r="B22" s="64" t="s">
        <v>177</v>
      </c>
      <c r="C22" s="133">
        <v>588</v>
      </c>
      <c r="D22" s="14">
        <f>ИНП2019!U19</f>
        <v>0.56152000000000002</v>
      </c>
      <c r="E22" s="14">
        <f>ИБР2019!AR19</f>
        <v>1.2897400000000001</v>
      </c>
      <c r="F22" s="16">
        <f>ИНП2019!T19</f>
        <v>276.64</v>
      </c>
      <c r="G22" s="25">
        <f t="shared" si="0"/>
        <v>214.49284351884873</v>
      </c>
      <c r="H22" s="26">
        <f t="shared" si="1"/>
        <v>0.47047619047619044</v>
      </c>
      <c r="I22" s="27">
        <f t="shared" si="2"/>
        <v>0.43537457161908599</v>
      </c>
      <c r="J22" s="109">
        <f t="shared" si="3"/>
        <v>485.49683409268761</v>
      </c>
      <c r="K22" s="15">
        <f t="shared" si="4"/>
        <v>4.9874529019225539E-2</v>
      </c>
      <c r="L22" s="164">
        <f t="shared" si="8"/>
        <v>34.713000000000001</v>
      </c>
      <c r="M22" s="13">
        <f t="shared" si="5"/>
        <v>0.47909779563179666</v>
      </c>
      <c r="N22" s="113">
        <f t="shared" si="6"/>
        <v>249.2</v>
      </c>
      <c r="O22" s="114">
        <f t="shared" si="7"/>
        <v>0.42399999999999999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s="18" customFormat="1" ht="22.5" customHeight="1" x14ac:dyDescent="0.25">
      <c r="A23" s="30" t="s">
        <v>180</v>
      </c>
      <c r="B23" s="64" t="s">
        <v>178</v>
      </c>
      <c r="C23" s="133">
        <v>591</v>
      </c>
      <c r="D23" s="14">
        <f>ИНП2019!U20</f>
        <v>0.41191</v>
      </c>
      <c r="E23" s="14">
        <f>ИБР2019!AR20</f>
        <v>1.3775299999999999</v>
      </c>
      <c r="F23" s="16">
        <f>ИНП2019!T20</f>
        <v>203.97</v>
      </c>
      <c r="G23" s="25">
        <f t="shared" si="0"/>
        <v>148.06937054002455</v>
      </c>
      <c r="H23" s="26">
        <f t="shared" si="1"/>
        <v>0.3451269035532995</v>
      </c>
      <c r="I23" s="27">
        <f t="shared" si="2"/>
        <v>0.29902071098270094</v>
      </c>
      <c r="J23" s="109">
        <f t="shared" si="3"/>
        <v>637.40272265694523</v>
      </c>
      <c r="K23" s="15">
        <f t="shared" si="4"/>
        <v>6.5479645500670827E-2</v>
      </c>
      <c r="L23" s="164">
        <f t="shared" si="8"/>
        <v>45.573999999999998</v>
      </c>
      <c r="M23" s="13">
        <f t="shared" si="5"/>
        <v>0.35249292006620664</v>
      </c>
      <c r="N23" s="113">
        <f t="shared" si="6"/>
        <v>193.6</v>
      </c>
      <c r="O23" s="114">
        <f t="shared" si="7"/>
        <v>0.32800000000000001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s="18" customFormat="1" ht="22.5" customHeight="1" x14ac:dyDescent="0.25">
      <c r="A24" s="30" t="s">
        <v>181</v>
      </c>
      <c r="B24" s="64" t="s">
        <v>179</v>
      </c>
      <c r="C24" s="133">
        <v>686</v>
      </c>
      <c r="D24" s="14">
        <f>ИНП2019!U21</f>
        <v>0.37152000000000002</v>
      </c>
      <c r="E24" s="14">
        <f>ИБР2019!AR21</f>
        <v>1.2897400000000001</v>
      </c>
      <c r="F24" s="16">
        <f>ИНП2019!T21</f>
        <v>213.54</v>
      </c>
      <c r="G24" s="25">
        <f t="shared" si="0"/>
        <v>165.56825406671109</v>
      </c>
      <c r="H24" s="26">
        <f t="shared" si="1"/>
        <v>0.31128279883381921</v>
      </c>
      <c r="I24" s="27">
        <f t="shared" si="2"/>
        <v>0.28805805821328329</v>
      </c>
      <c r="J24" s="109">
        <f t="shared" si="3"/>
        <v>702.86443461130625</v>
      </c>
      <c r="K24" s="15">
        <f t="shared" si="4"/>
        <v>7.2204451561697899E-2</v>
      </c>
      <c r="L24" s="164">
        <f t="shared" si="8"/>
        <v>50.253999999999998</v>
      </c>
      <c r="M24" s="13">
        <f t="shared" si="5"/>
        <v>0.34231357136894985</v>
      </c>
      <c r="N24" s="113">
        <f t="shared" si="6"/>
        <v>215.8</v>
      </c>
      <c r="O24" s="114">
        <f t="shared" si="7"/>
        <v>0.315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22.5" customHeight="1" x14ac:dyDescent="0.25">
      <c r="A25" s="172" t="s">
        <v>0</v>
      </c>
      <c r="B25" s="172"/>
      <c r="C25" s="134">
        <f>SUM(C12:C24)</f>
        <v>17716</v>
      </c>
      <c r="D25" s="112">
        <f>ИНП2019!U22</f>
        <v>1</v>
      </c>
      <c r="E25" s="112">
        <f>ИБР2019!AR22</f>
        <v>1</v>
      </c>
      <c r="F25" s="21">
        <f>SUM(F12:F24)</f>
        <v>14843.689999999999</v>
      </c>
      <c r="G25" s="21">
        <f>SUM(G12:G24)</f>
        <v>21164.281637051619</v>
      </c>
      <c r="H25" s="23">
        <f>AVERAGE(H12:H24)</f>
        <v>0.43517350508002423</v>
      </c>
      <c r="I25" s="22">
        <f>AVERAGE(I12:I24)</f>
        <v>0.50986606764102027</v>
      </c>
      <c r="J25" s="21">
        <f>SUM(J12:J24)</f>
        <v>9734.3642865387101</v>
      </c>
      <c r="K25" s="111">
        <f>SUM(K12:K24)</f>
        <v>1</v>
      </c>
      <c r="L25" s="165">
        <f>SUM(L12:L24)</f>
        <v>696</v>
      </c>
      <c r="M25" s="22">
        <f>AVERAGE(M12:M24)</f>
        <v>0.55788572880083243</v>
      </c>
      <c r="N25" s="21">
        <f>SUM(N12:N24)</f>
        <v>21860.199999999997</v>
      </c>
      <c r="O25" s="22">
        <f>AVERAGE(O12:O24)</f>
        <v>0.49376923076923085</v>
      </c>
    </row>
    <row r="26" spans="1:32" x14ac:dyDescent="0.2">
      <c r="A26" s="7"/>
      <c r="B26" s="7"/>
      <c r="C26" s="7"/>
      <c r="D26" s="7"/>
      <c r="E26" s="7"/>
      <c r="F26" s="7"/>
      <c r="G26" s="7"/>
      <c r="H26" s="7"/>
      <c r="I26" s="7"/>
      <c r="J26" s="12"/>
      <c r="K26" s="7"/>
      <c r="L26" s="7"/>
      <c r="M26" s="7"/>
      <c r="N26" s="7"/>
    </row>
    <row r="27" spans="1:32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11"/>
      <c r="M27" s="7"/>
      <c r="N27" s="7"/>
    </row>
  </sheetData>
  <mergeCells count="19">
    <mergeCell ref="A25:B25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2"/>
  <sheetViews>
    <sheetView zoomScale="85" zoomScaleNormal="85" zoomScaleSheetLayoutView="85" workbookViewId="0">
      <pane xSplit="2" ySplit="9" topLeftCell="K10" activePane="bottomRight" state="frozen"/>
      <selection activeCell="G21" sqref="G21"/>
      <selection pane="topRight" activeCell="G21" sqref="G21"/>
      <selection pane="bottomLeft" activeCell="G21" sqref="G21"/>
      <selection pane="bottomRight" activeCell="D21" sqref="D21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186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0" t="s">
        <v>1</v>
      </c>
      <c r="B4" s="170" t="s">
        <v>43</v>
      </c>
      <c r="C4" s="171" t="s">
        <v>182</v>
      </c>
      <c r="D4" s="179" t="s">
        <v>6</v>
      </c>
      <c r="E4" s="179"/>
      <c r="F4" s="179"/>
      <c r="G4" s="179"/>
      <c r="H4" s="179" t="s">
        <v>46</v>
      </c>
      <c r="I4" s="179"/>
      <c r="J4" s="179"/>
      <c r="K4" s="179"/>
      <c r="L4" s="179" t="s">
        <v>16</v>
      </c>
      <c r="M4" s="179"/>
      <c r="N4" s="179"/>
      <c r="O4" s="179"/>
      <c r="P4" s="179" t="s">
        <v>50</v>
      </c>
      <c r="Q4" s="179"/>
      <c r="R4" s="179"/>
      <c r="S4" s="179"/>
      <c r="T4" s="179" t="s">
        <v>14</v>
      </c>
      <c r="U4" s="179" t="s">
        <v>11</v>
      </c>
    </row>
    <row r="5" spans="1:23" ht="13.15" customHeight="1" x14ac:dyDescent="0.2">
      <c r="A5" s="170"/>
      <c r="B5" s="170"/>
      <c r="C5" s="171"/>
      <c r="D5" s="178" t="s">
        <v>33</v>
      </c>
      <c r="E5" s="178" t="s">
        <v>184</v>
      </c>
      <c r="F5" s="178" t="s">
        <v>44</v>
      </c>
      <c r="G5" s="179" t="s">
        <v>15</v>
      </c>
      <c r="H5" s="178" t="s">
        <v>47</v>
      </c>
      <c r="I5" s="170" t="s">
        <v>52</v>
      </c>
      <c r="J5" s="178" t="s">
        <v>44</v>
      </c>
      <c r="K5" s="179" t="s">
        <v>15</v>
      </c>
      <c r="L5" s="178" t="s">
        <v>48</v>
      </c>
      <c r="M5" s="178" t="s">
        <v>35</v>
      </c>
      <c r="N5" s="178" t="s">
        <v>49</v>
      </c>
      <c r="O5" s="179" t="s">
        <v>15</v>
      </c>
      <c r="P5" s="183" t="s">
        <v>47</v>
      </c>
      <c r="Q5" s="170" t="s">
        <v>51</v>
      </c>
      <c r="R5" s="178" t="s">
        <v>49</v>
      </c>
      <c r="S5" s="179" t="s">
        <v>15</v>
      </c>
      <c r="T5" s="179"/>
      <c r="U5" s="179"/>
    </row>
    <row r="6" spans="1:23" ht="84" customHeight="1" x14ac:dyDescent="0.2">
      <c r="A6" s="170"/>
      <c r="B6" s="170"/>
      <c r="C6" s="171"/>
      <c r="D6" s="178"/>
      <c r="E6" s="178"/>
      <c r="F6" s="178"/>
      <c r="G6" s="179"/>
      <c r="H6" s="178"/>
      <c r="I6" s="170"/>
      <c r="J6" s="178"/>
      <c r="K6" s="179"/>
      <c r="L6" s="178"/>
      <c r="M6" s="178"/>
      <c r="N6" s="178"/>
      <c r="O6" s="179"/>
      <c r="P6" s="183"/>
      <c r="Q6" s="170"/>
      <c r="R6" s="178"/>
      <c r="S6" s="179"/>
      <c r="T6" s="179"/>
      <c r="U6" s="179"/>
    </row>
    <row r="7" spans="1:23" s="24" customFormat="1" ht="28.5" customHeight="1" x14ac:dyDescent="0.2">
      <c r="A7" s="182" t="s">
        <v>41</v>
      </c>
      <c r="B7" s="182"/>
      <c r="C7" s="20">
        <v>1</v>
      </c>
      <c r="D7" s="94">
        <v>2</v>
      </c>
      <c r="E7" s="94">
        <v>3</v>
      </c>
      <c r="F7" s="94">
        <v>4</v>
      </c>
      <c r="G7" s="94" t="s">
        <v>45</v>
      </c>
      <c r="H7" s="94">
        <v>6</v>
      </c>
      <c r="I7" s="94">
        <v>7</v>
      </c>
      <c r="J7" s="94">
        <v>8</v>
      </c>
      <c r="K7" s="94" t="s">
        <v>88</v>
      </c>
      <c r="L7" s="94">
        <v>10</v>
      </c>
      <c r="M7" s="94">
        <v>11</v>
      </c>
      <c r="N7" s="94">
        <v>12</v>
      </c>
      <c r="O7" s="94" t="s">
        <v>89</v>
      </c>
      <c r="P7" s="94">
        <v>14</v>
      </c>
      <c r="Q7" s="94">
        <v>15</v>
      </c>
      <c r="R7" s="94">
        <v>16</v>
      </c>
      <c r="S7" s="94" t="s">
        <v>90</v>
      </c>
      <c r="T7" s="95" t="s">
        <v>91</v>
      </c>
      <c r="U7" s="96" t="s">
        <v>92</v>
      </c>
    </row>
    <row r="8" spans="1:23" s="24" customFormat="1" ht="13.5" x14ac:dyDescent="0.25">
      <c r="A8" s="181"/>
      <c r="B8" s="181"/>
      <c r="C8" s="138" t="s">
        <v>40</v>
      </c>
      <c r="D8" s="37"/>
      <c r="E8" s="138"/>
      <c r="F8" s="138" t="s">
        <v>34</v>
      </c>
      <c r="G8" s="37"/>
      <c r="H8" s="37"/>
      <c r="I8" s="37"/>
      <c r="J8" s="138" t="s">
        <v>34</v>
      </c>
      <c r="K8" s="28"/>
      <c r="L8" s="37"/>
      <c r="M8" s="138" t="s">
        <v>34</v>
      </c>
      <c r="N8" s="138" t="s">
        <v>34</v>
      </c>
      <c r="O8" s="37"/>
      <c r="P8" s="37"/>
      <c r="Q8" s="37"/>
      <c r="R8" s="138" t="s">
        <v>34</v>
      </c>
      <c r="S8" s="37"/>
      <c r="T8" s="28"/>
      <c r="U8" s="29" t="s">
        <v>8</v>
      </c>
    </row>
    <row r="9" spans="1:23" s="24" customFormat="1" ht="22.5" customHeight="1" x14ac:dyDescent="0.25">
      <c r="A9" s="30" t="s">
        <v>28</v>
      </c>
      <c r="B9" s="55" t="s">
        <v>167</v>
      </c>
      <c r="C9" s="133">
        <v>7884</v>
      </c>
      <c r="D9" s="155">
        <v>503500</v>
      </c>
      <c r="E9" s="166">
        <v>0.10780000000000001</v>
      </c>
      <c r="F9" s="31">
        <v>0.1</v>
      </c>
      <c r="G9" s="32">
        <f>ROUND(D9*F9*E9,0)</f>
        <v>5428</v>
      </c>
      <c r="H9" s="38">
        <v>2556</v>
      </c>
      <c r="I9" s="38"/>
      <c r="J9" s="31">
        <v>1</v>
      </c>
      <c r="K9" s="32">
        <f>ROUND((H9+I9)*J9,0)</f>
        <v>2556</v>
      </c>
      <c r="L9" s="38">
        <v>19307.900000000001</v>
      </c>
      <c r="M9" s="31">
        <v>0.06</v>
      </c>
      <c r="N9" s="31">
        <v>0.5</v>
      </c>
      <c r="O9" s="32">
        <f>ROUND(L9*M9*N9,0)</f>
        <v>579</v>
      </c>
      <c r="P9" s="38">
        <v>2656</v>
      </c>
      <c r="Q9" s="32">
        <v>121</v>
      </c>
      <c r="R9" s="31">
        <v>1</v>
      </c>
      <c r="S9" s="32">
        <f>ROUND((P9+Q9)*R9,0)</f>
        <v>2777</v>
      </c>
      <c r="T9" s="32">
        <f>G9+K9+O9+S9</f>
        <v>11340</v>
      </c>
      <c r="U9" s="33">
        <f t="shared" ref="U9:U17" si="0">ROUND((T9/C9)/($T$22/$C$22),5)</f>
        <v>1.71668</v>
      </c>
      <c r="V9" s="34"/>
      <c r="W9" s="35"/>
    </row>
    <row r="10" spans="1:23" s="24" customFormat="1" ht="22.5" customHeight="1" x14ac:dyDescent="0.25">
      <c r="A10" s="30" t="s">
        <v>24</v>
      </c>
      <c r="B10" s="64" t="s">
        <v>168</v>
      </c>
      <c r="C10" s="133">
        <v>818</v>
      </c>
      <c r="D10" s="155">
        <v>400</v>
      </c>
      <c r="E10" s="166">
        <v>0.34279999999999999</v>
      </c>
      <c r="F10" s="31">
        <v>0.02</v>
      </c>
      <c r="G10" s="32">
        <f t="shared" ref="G10:G21" si="1">ROUND(D10*F10*E10,2)</f>
        <v>2.74</v>
      </c>
      <c r="H10" s="38">
        <v>35</v>
      </c>
      <c r="I10" s="38"/>
      <c r="J10" s="31">
        <v>1</v>
      </c>
      <c r="K10" s="32">
        <f t="shared" ref="K10:K21" si="2">ROUND((H10+I10)*J10,0)</f>
        <v>35</v>
      </c>
      <c r="L10" s="38">
        <v>237.7</v>
      </c>
      <c r="M10" s="31">
        <v>0.06</v>
      </c>
      <c r="N10" s="31">
        <v>0.3</v>
      </c>
      <c r="O10" s="32">
        <f t="shared" ref="O10:O21" si="3">ROUND(L10*M10*N10,0)</f>
        <v>4</v>
      </c>
      <c r="P10" s="38">
        <v>88</v>
      </c>
      <c r="Q10" s="32">
        <v>6</v>
      </c>
      <c r="R10" s="31">
        <v>1</v>
      </c>
      <c r="S10" s="32">
        <f t="shared" ref="S10:S21" si="4">ROUND((P10+Q10)*R10,0)</f>
        <v>94</v>
      </c>
      <c r="T10" s="32">
        <f t="shared" ref="T10:T21" si="5">G10+K10+O10+S10</f>
        <v>135.74</v>
      </c>
      <c r="U10" s="33">
        <f t="shared" si="0"/>
        <v>0.19805</v>
      </c>
      <c r="V10" s="34"/>
      <c r="W10" s="35"/>
    </row>
    <row r="11" spans="1:23" s="24" customFormat="1" ht="22.5" customHeight="1" x14ac:dyDescent="0.25">
      <c r="A11" s="30" t="s">
        <v>27</v>
      </c>
      <c r="B11" s="64" t="s">
        <v>169</v>
      </c>
      <c r="C11" s="133">
        <v>697</v>
      </c>
      <c r="D11" s="155">
        <v>4300</v>
      </c>
      <c r="E11" s="166">
        <v>0.38169999999999998</v>
      </c>
      <c r="F11" s="31">
        <v>0.02</v>
      </c>
      <c r="G11" s="32">
        <f t="shared" si="1"/>
        <v>32.83</v>
      </c>
      <c r="H11" s="38">
        <v>32</v>
      </c>
      <c r="I11" s="38"/>
      <c r="J11" s="31">
        <v>1</v>
      </c>
      <c r="K11" s="32">
        <f t="shared" si="2"/>
        <v>32</v>
      </c>
      <c r="L11" s="38">
        <v>266.5</v>
      </c>
      <c r="M11" s="31">
        <v>0.06</v>
      </c>
      <c r="N11" s="31">
        <v>0.3</v>
      </c>
      <c r="O11" s="32">
        <f t="shared" si="3"/>
        <v>5</v>
      </c>
      <c r="P11" s="38">
        <v>134</v>
      </c>
      <c r="Q11" s="32">
        <v>12</v>
      </c>
      <c r="R11" s="31">
        <v>1</v>
      </c>
      <c r="S11" s="32">
        <f t="shared" si="4"/>
        <v>146</v>
      </c>
      <c r="T11" s="32">
        <f t="shared" si="5"/>
        <v>215.82999999999998</v>
      </c>
      <c r="U11" s="33">
        <f t="shared" si="0"/>
        <v>0.36958000000000002</v>
      </c>
      <c r="V11" s="34"/>
      <c r="W11" s="35"/>
    </row>
    <row r="12" spans="1:23" s="24" customFormat="1" ht="22.5" customHeight="1" x14ac:dyDescent="0.25">
      <c r="A12" s="30" t="s">
        <v>25</v>
      </c>
      <c r="B12" s="64" t="s">
        <v>170</v>
      </c>
      <c r="C12" s="133">
        <v>1250</v>
      </c>
      <c r="D12" s="155">
        <v>8200</v>
      </c>
      <c r="E12" s="166">
        <v>0.44750000000000001</v>
      </c>
      <c r="F12" s="31">
        <v>0.02</v>
      </c>
      <c r="G12" s="32">
        <f t="shared" si="1"/>
        <v>73.39</v>
      </c>
      <c r="H12" s="38">
        <v>60</v>
      </c>
      <c r="I12" s="38"/>
      <c r="J12" s="31">
        <v>1</v>
      </c>
      <c r="K12" s="32">
        <f t="shared" si="2"/>
        <v>60</v>
      </c>
      <c r="L12" s="38">
        <v>0</v>
      </c>
      <c r="M12" s="31">
        <v>0.06</v>
      </c>
      <c r="N12" s="31">
        <v>0.3</v>
      </c>
      <c r="O12" s="32">
        <f t="shared" si="3"/>
        <v>0</v>
      </c>
      <c r="P12" s="38">
        <v>322</v>
      </c>
      <c r="Q12" s="32">
        <v>6</v>
      </c>
      <c r="R12" s="31">
        <v>1</v>
      </c>
      <c r="S12" s="32">
        <f t="shared" si="4"/>
        <v>328</v>
      </c>
      <c r="T12" s="32">
        <f t="shared" si="5"/>
        <v>461.39</v>
      </c>
      <c r="U12" s="33">
        <f t="shared" si="0"/>
        <v>0.44053999999999999</v>
      </c>
      <c r="V12" s="34"/>
      <c r="W12" s="35"/>
    </row>
    <row r="13" spans="1:23" s="24" customFormat="1" ht="22.5" customHeight="1" x14ac:dyDescent="0.25">
      <c r="A13" s="30" t="s">
        <v>29</v>
      </c>
      <c r="B13" s="64" t="s">
        <v>171</v>
      </c>
      <c r="C13" s="133">
        <v>746</v>
      </c>
      <c r="D13" s="155">
        <v>6500</v>
      </c>
      <c r="E13" s="166">
        <v>0.52270000000000005</v>
      </c>
      <c r="F13" s="31">
        <v>0.02</v>
      </c>
      <c r="G13" s="32">
        <f t="shared" si="1"/>
        <v>67.95</v>
      </c>
      <c r="H13" s="38">
        <v>38</v>
      </c>
      <c r="I13" s="38"/>
      <c r="J13" s="31">
        <v>1</v>
      </c>
      <c r="K13" s="32">
        <f t="shared" si="2"/>
        <v>38</v>
      </c>
      <c r="L13" s="38">
        <v>814.9</v>
      </c>
      <c r="M13" s="31">
        <v>0.06</v>
      </c>
      <c r="N13" s="31">
        <v>0.3</v>
      </c>
      <c r="O13" s="32">
        <f t="shared" si="3"/>
        <v>15</v>
      </c>
      <c r="P13" s="38">
        <v>302</v>
      </c>
      <c r="Q13" s="32">
        <v>7</v>
      </c>
      <c r="R13" s="31">
        <v>1</v>
      </c>
      <c r="S13" s="32">
        <f t="shared" si="4"/>
        <v>309</v>
      </c>
      <c r="T13" s="32">
        <f t="shared" si="5"/>
        <v>429.95</v>
      </c>
      <c r="U13" s="33">
        <f t="shared" si="0"/>
        <v>0.68786000000000003</v>
      </c>
      <c r="V13" s="34"/>
      <c r="W13" s="35"/>
    </row>
    <row r="14" spans="1:23" s="24" customFormat="1" ht="22.5" customHeight="1" x14ac:dyDescent="0.25">
      <c r="A14" s="30" t="s">
        <v>30</v>
      </c>
      <c r="B14" s="64" t="s">
        <v>172</v>
      </c>
      <c r="C14" s="133">
        <v>1044</v>
      </c>
      <c r="D14" s="155">
        <v>7700</v>
      </c>
      <c r="E14" s="166">
        <v>0.42570000000000002</v>
      </c>
      <c r="F14" s="31">
        <v>0.02</v>
      </c>
      <c r="G14" s="32">
        <f t="shared" si="1"/>
        <v>65.56</v>
      </c>
      <c r="H14" s="38">
        <v>115</v>
      </c>
      <c r="I14" s="38"/>
      <c r="J14" s="31">
        <v>1</v>
      </c>
      <c r="K14" s="32">
        <f t="shared" si="2"/>
        <v>115</v>
      </c>
      <c r="L14" s="38">
        <v>1313.5</v>
      </c>
      <c r="M14" s="31">
        <v>0.06</v>
      </c>
      <c r="N14" s="31">
        <v>0.3</v>
      </c>
      <c r="O14" s="32">
        <f t="shared" si="3"/>
        <v>24</v>
      </c>
      <c r="P14" s="38">
        <v>213</v>
      </c>
      <c r="Q14" s="32">
        <v>5</v>
      </c>
      <c r="R14" s="31">
        <v>1</v>
      </c>
      <c r="S14" s="32">
        <f t="shared" si="4"/>
        <v>218</v>
      </c>
      <c r="T14" s="32">
        <f t="shared" si="5"/>
        <v>422.56</v>
      </c>
      <c r="U14" s="33">
        <f t="shared" si="0"/>
        <v>0.48307</v>
      </c>
      <c r="V14" s="34"/>
      <c r="W14" s="35"/>
    </row>
    <row r="15" spans="1:23" s="24" customFormat="1" ht="22.5" customHeight="1" x14ac:dyDescent="0.25">
      <c r="A15" s="30" t="s">
        <v>26</v>
      </c>
      <c r="B15" s="64" t="s">
        <v>173</v>
      </c>
      <c r="C15" s="133">
        <v>586</v>
      </c>
      <c r="D15" s="155">
        <v>1400</v>
      </c>
      <c r="E15" s="166">
        <v>0.40939999999999999</v>
      </c>
      <c r="F15" s="31">
        <v>0.02</v>
      </c>
      <c r="G15" s="32">
        <f t="shared" si="1"/>
        <v>11.46</v>
      </c>
      <c r="H15" s="38">
        <v>20</v>
      </c>
      <c r="I15" s="38"/>
      <c r="J15" s="31">
        <v>1</v>
      </c>
      <c r="K15" s="32">
        <f t="shared" si="2"/>
        <v>20</v>
      </c>
      <c r="L15" s="38">
        <v>0</v>
      </c>
      <c r="M15" s="31">
        <v>0.06</v>
      </c>
      <c r="N15" s="31">
        <v>0.3</v>
      </c>
      <c r="O15" s="32">
        <f t="shared" si="3"/>
        <v>0</v>
      </c>
      <c r="P15" s="38">
        <v>147</v>
      </c>
      <c r="Q15" s="32">
        <v>4</v>
      </c>
      <c r="R15" s="31">
        <v>1</v>
      </c>
      <c r="S15" s="32">
        <f t="shared" si="4"/>
        <v>151</v>
      </c>
      <c r="T15" s="32">
        <f t="shared" si="5"/>
        <v>182.46</v>
      </c>
      <c r="U15" s="33">
        <f t="shared" si="0"/>
        <v>0.37162000000000001</v>
      </c>
      <c r="V15" s="34"/>
      <c r="W15" s="35"/>
    </row>
    <row r="16" spans="1:23" s="24" customFormat="1" ht="22.5" customHeight="1" x14ac:dyDescent="0.25">
      <c r="A16" s="30" t="s">
        <v>31</v>
      </c>
      <c r="B16" s="64" t="s">
        <v>174</v>
      </c>
      <c r="C16" s="133">
        <v>1448</v>
      </c>
      <c r="D16" s="155">
        <v>15200</v>
      </c>
      <c r="E16" s="166">
        <v>0.34789999999999999</v>
      </c>
      <c r="F16" s="31">
        <v>0.02</v>
      </c>
      <c r="G16" s="32">
        <f t="shared" si="1"/>
        <v>105.76</v>
      </c>
      <c r="H16" s="38">
        <v>76</v>
      </c>
      <c r="I16" s="38"/>
      <c r="J16" s="31">
        <v>1</v>
      </c>
      <c r="K16" s="32">
        <f t="shared" si="2"/>
        <v>76</v>
      </c>
      <c r="L16" s="38">
        <v>393.6</v>
      </c>
      <c r="M16" s="31">
        <v>0.06</v>
      </c>
      <c r="N16" s="31">
        <v>0.3</v>
      </c>
      <c r="O16" s="32">
        <f t="shared" si="3"/>
        <v>7</v>
      </c>
      <c r="P16" s="38">
        <v>384</v>
      </c>
      <c r="Q16" s="32">
        <v>7</v>
      </c>
      <c r="R16" s="31">
        <v>1</v>
      </c>
      <c r="S16" s="32">
        <f t="shared" si="4"/>
        <v>391</v>
      </c>
      <c r="T16" s="32">
        <f t="shared" si="5"/>
        <v>579.76</v>
      </c>
      <c r="U16" s="33">
        <f t="shared" si="0"/>
        <v>0.47786000000000001</v>
      </c>
      <c r="V16" s="34"/>
      <c r="W16" s="35"/>
    </row>
    <row r="17" spans="1:23" s="24" customFormat="1" ht="22.5" customHeight="1" x14ac:dyDescent="0.25">
      <c r="A17" s="30" t="s">
        <v>32</v>
      </c>
      <c r="B17" s="64" t="s">
        <v>175</v>
      </c>
      <c r="C17" s="133">
        <v>741</v>
      </c>
      <c r="D17" s="155">
        <v>700</v>
      </c>
      <c r="E17" s="166">
        <v>0.51359999999999995</v>
      </c>
      <c r="F17" s="31">
        <v>0.02</v>
      </c>
      <c r="G17" s="32">
        <f t="shared" si="1"/>
        <v>7.19</v>
      </c>
      <c r="H17" s="38">
        <v>34</v>
      </c>
      <c r="I17" s="38"/>
      <c r="J17" s="31">
        <v>1</v>
      </c>
      <c r="K17" s="32">
        <f t="shared" si="2"/>
        <v>34</v>
      </c>
      <c r="L17" s="38">
        <v>8.8000000000000007</v>
      </c>
      <c r="M17" s="31">
        <v>0.06</v>
      </c>
      <c r="N17" s="31">
        <v>0.3</v>
      </c>
      <c r="O17" s="32">
        <f t="shared" si="3"/>
        <v>0</v>
      </c>
      <c r="P17" s="38">
        <v>159</v>
      </c>
      <c r="Q17" s="32">
        <v>4</v>
      </c>
      <c r="R17" s="31">
        <v>1</v>
      </c>
      <c r="S17" s="32">
        <f t="shared" si="4"/>
        <v>163</v>
      </c>
      <c r="T17" s="32">
        <f t="shared" si="5"/>
        <v>204.19</v>
      </c>
      <c r="U17" s="33">
        <f t="shared" si="0"/>
        <v>0.32888000000000001</v>
      </c>
      <c r="V17" s="34"/>
      <c r="W17" s="35"/>
    </row>
    <row r="18" spans="1:23" s="24" customFormat="1" ht="22.5" customHeight="1" x14ac:dyDescent="0.25">
      <c r="A18" s="30" t="s">
        <v>4</v>
      </c>
      <c r="B18" s="64" t="s">
        <v>176</v>
      </c>
      <c r="C18" s="133">
        <v>637</v>
      </c>
      <c r="D18" s="155">
        <v>1600</v>
      </c>
      <c r="E18" s="166">
        <v>0.23930000000000001</v>
      </c>
      <c r="F18" s="31">
        <v>0.02</v>
      </c>
      <c r="G18" s="32">
        <f t="shared" ref="G18:G19" si="6">ROUND(D18*F18*E18,2)</f>
        <v>7.66</v>
      </c>
      <c r="H18" s="38">
        <v>26</v>
      </c>
      <c r="I18" s="38"/>
      <c r="J18" s="31">
        <v>1</v>
      </c>
      <c r="K18" s="32">
        <f t="shared" ref="K18:K19" si="7">ROUND((H18+I18)*J18,0)</f>
        <v>26</v>
      </c>
      <c r="L18" s="38">
        <v>0</v>
      </c>
      <c r="M18" s="31">
        <v>0.06</v>
      </c>
      <c r="N18" s="31">
        <v>0.3</v>
      </c>
      <c r="O18" s="32">
        <f t="shared" ref="O18:O19" si="8">ROUND(L18*M18*N18,0)</f>
        <v>0</v>
      </c>
      <c r="P18" s="38">
        <v>140</v>
      </c>
      <c r="Q18" s="32">
        <v>4</v>
      </c>
      <c r="R18" s="31">
        <v>1</v>
      </c>
      <c r="S18" s="32">
        <f t="shared" ref="S18:S19" si="9">ROUND((P18+Q18)*R18,0)</f>
        <v>144</v>
      </c>
      <c r="T18" s="32">
        <f t="shared" ref="T18:T19" si="10">G18+K18+O18+S18</f>
        <v>177.66</v>
      </c>
      <c r="U18" s="33">
        <f t="shared" ref="U18:U19" si="11">ROUND((T18/C18)/($T$22/$C$22),5)</f>
        <v>0.33287</v>
      </c>
      <c r="V18" s="34"/>
      <c r="W18" s="35"/>
    </row>
    <row r="19" spans="1:23" s="24" customFormat="1" ht="22.5" customHeight="1" x14ac:dyDescent="0.25">
      <c r="A19" s="30" t="s">
        <v>5</v>
      </c>
      <c r="B19" s="64" t="s">
        <v>177</v>
      </c>
      <c r="C19" s="133">
        <v>588</v>
      </c>
      <c r="D19" s="155">
        <v>1500</v>
      </c>
      <c r="E19" s="166">
        <v>0.38790000000000002</v>
      </c>
      <c r="F19" s="31">
        <v>0.02</v>
      </c>
      <c r="G19" s="32">
        <f t="shared" si="6"/>
        <v>11.64</v>
      </c>
      <c r="H19" s="38">
        <v>88</v>
      </c>
      <c r="I19" s="38"/>
      <c r="J19" s="31">
        <v>1</v>
      </c>
      <c r="K19" s="32">
        <f t="shared" si="7"/>
        <v>88</v>
      </c>
      <c r="L19" s="38">
        <v>0</v>
      </c>
      <c r="M19" s="31">
        <v>0.06</v>
      </c>
      <c r="N19" s="31">
        <v>0.3</v>
      </c>
      <c r="O19" s="32">
        <f t="shared" si="8"/>
        <v>0</v>
      </c>
      <c r="P19" s="38">
        <v>172</v>
      </c>
      <c r="Q19" s="32">
        <v>5</v>
      </c>
      <c r="R19" s="31">
        <v>1</v>
      </c>
      <c r="S19" s="32">
        <f t="shared" si="9"/>
        <v>177</v>
      </c>
      <c r="T19" s="32">
        <f t="shared" si="10"/>
        <v>276.64</v>
      </c>
      <c r="U19" s="33">
        <f t="shared" si="11"/>
        <v>0.56152000000000002</v>
      </c>
      <c r="V19" s="34"/>
      <c r="W19" s="35"/>
    </row>
    <row r="20" spans="1:23" s="24" customFormat="1" ht="22.5" customHeight="1" x14ac:dyDescent="0.25">
      <c r="A20" s="30" t="s">
        <v>180</v>
      </c>
      <c r="B20" s="64" t="s">
        <v>178</v>
      </c>
      <c r="C20" s="133">
        <v>591</v>
      </c>
      <c r="D20" s="155">
        <v>2100</v>
      </c>
      <c r="E20" s="166">
        <v>0.33260000000000001</v>
      </c>
      <c r="F20" s="31">
        <v>0.02</v>
      </c>
      <c r="G20" s="32">
        <f t="shared" si="1"/>
        <v>13.97</v>
      </c>
      <c r="H20" s="38">
        <v>21</v>
      </c>
      <c r="I20" s="38"/>
      <c r="J20" s="31">
        <v>1</v>
      </c>
      <c r="K20" s="32">
        <f t="shared" si="2"/>
        <v>21</v>
      </c>
      <c r="L20" s="38">
        <v>314</v>
      </c>
      <c r="M20" s="31">
        <v>0.06</v>
      </c>
      <c r="N20" s="31">
        <v>0.3</v>
      </c>
      <c r="O20" s="32">
        <f t="shared" si="3"/>
        <v>6</v>
      </c>
      <c r="P20" s="38">
        <v>156</v>
      </c>
      <c r="Q20" s="32">
        <v>7</v>
      </c>
      <c r="R20" s="31">
        <v>1</v>
      </c>
      <c r="S20" s="32">
        <f t="shared" si="4"/>
        <v>163</v>
      </c>
      <c r="T20" s="32">
        <f t="shared" si="5"/>
        <v>203.97</v>
      </c>
      <c r="U20" s="33">
        <f>ROUND((T20/C20)/($T$22/$C$22),5)</f>
        <v>0.41191</v>
      </c>
      <c r="V20" s="34"/>
      <c r="W20" s="35"/>
    </row>
    <row r="21" spans="1:23" s="24" customFormat="1" ht="22.5" customHeight="1" x14ac:dyDescent="0.25">
      <c r="A21" s="30" t="s">
        <v>181</v>
      </c>
      <c r="B21" s="64" t="s">
        <v>179</v>
      </c>
      <c r="C21" s="133">
        <v>686</v>
      </c>
      <c r="D21" s="155">
        <v>1900</v>
      </c>
      <c r="E21" s="166">
        <v>0.38250000000000001</v>
      </c>
      <c r="F21" s="31">
        <v>0.02</v>
      </c>
      <c r="G21" s="32">
        <f t="shared" si="1"/>
        <v>14.54</v>
      </c>
      <c r="H21" s="38">
        <v>30</v>
      </c>
      <c r="I21" s="38"/>
      <c r="J21" s="31">
        <v>1</v>
      </c>
      <c r="K21" s="32">
        <f t="shared" si="2"/>
        <v>30</v>
      </c>
      <c r="L21" s="38">
        <v>0</v>
      </c>
      <c r="M21" s="31">
        <v>0.06</v>
      </c>
      <c r="N21" s="31">
        <v>0.3</v>
      </c>
      <c r="O21" s="32">
        <f t="shared" si="3"/>
        <v>0</v>
      </c>
      <c r="P21" s="38">
        <v>164</v>
      </c>
      <c r="Q21" s="32">
        <v>5</v>
      </c>
      <c r="R21" s="31">
        <v>1</v>
      </c>
      <c r="S21" s="32">
        <f t="shared" si="4"/>
        <v>169</v>
      </c>
      <c r="T21" s="32">
        <f t="shared" si="5"/>
        <v>213.54</v>
      </c>
      <c r="U21" s="33">
        <f>ROUND((T21/C21)/($T$22/$C$22),5)</f>
        <v>0.37152000000000002</v>
      </c>
      <c r="V21" s="34"/>
      <c r="W21" s="35"/>
    </row>
    <row r="22" spans="1:23" s="97" customFormat="1" ht="22.5" customHeight="1" x14ac:dyDescent="0.25">
      <c r="A22" s="180" t="s">
        <v>0</v>
      </c>
      <c r="B22" s="180"/>
      <c r="C22" s="156">
        <f>SUM(C9:C21)</f>
        <v>17716</v>
      </c>
      <c r="D22" s="156">
        <f>SUM(D9:D21)</f>
        <v>555000</v>
      </c>
      <c r="E22" s="167" t="s">
        <v>7</v>
      </c>
      <c r="F22" s="157" t="s">
        <v>7</v>
      </c>
      <c r="G22" s="156">
        <f>SUM(G9:G21)</f>
        <v>5842.6900000000005</v>
      </c>
      <c r="H22" s="156">
        <f>SUM(H9:H21)</f>
        <v>3131</v>
      </c>
      <c r="I22" s="156">
        <f>SUM(I9:I21)</f>
        <v>0</v>
      </c>
      <c r="J22" s="157" t="s">
        <v>7</v>
      </c>
      <c r="K22" s="156">
        <f>SUM(K9:K21)</f>
        <v>3131</v>
      </c>
      <c r="L22" s="156">
        <f>SUM(L9:L21)</f>
        <v>22656.9</v>
      </c>
      <c r="M22" s="157" t="s">
        <v>7</v>
      </c>
      <c r="N22" s="157" t="s">
        <v>7</v>
      </c>
      <c r="O22" s="156">
        <f>SUM(O9:O21)</f>
        <v>640</v>
      </c>
      <c r="P22" s="156">
        <f>SUM(P9:P21)</f>
        <v>5037</v>
      </c>
      <c r="Q22" s="156">
        <f>SUM(Q9:Q21)</f>
        <v>193</v>
      </c>
      <c r="R22" s="157" t="s">
        <v>7</v>
      </c>
      <c r="S22" s="156">
        <f>SUM(S9:S21)</f>
        <v>5230</v>
      </c>
      <c r="T22" s="156">
        <f>SUM(T9:T21)</f>
        <v>14843.689999999999</v>
      </c>
      <c r="U22" s="150">
        <f t="shared" ref="U22" si="12">(T22/C22)/($T$22/$C$22)</f>
        <v>1</v>
      </c>
    </row>
    <row r="23" spans="1:23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4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4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4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4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4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4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4" customForma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 s="24" customForma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1:19" s="24" customFormat="1" x14ac:dyDescent="0.2"/>
    <row r="44" spans="1:19" s="24" customFormat="1" x14ac:dyDescent="0.2"/>
    <row r="45" spans="1:19" s="24" customFormat="1" x14ac:dyDescent="0.2"/>
    <row r="46" spans="1:19" s="24" customFormat="1" x14ac:dyDescent="0.2"/>
    <row r="47" spans="1:19" s="24" customFormat="1" x14ac:dyDescent="0.2"/>
    <row r="48" spans="1:19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</sheetData>
  <mergeCells count="28">
    <mergeCell ref="R5:R6"/>
    <mergeCell ref="T4:T6"/>
    <mergeCell ref="U4:U6"/>
    <mergeCell ref="A22:B22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9"/>
  <sheetViews>
    <sheetView topLeftCell="A6" zoomScale="115" zoomScaleNormal="115" zoomScaleSheetLayoutView="70" workbookViewId="0">
      <pane xSplit="3" topLeftCell="AQ1" activePane="topRight" state="frozenSplit"/>
      <selection activeCell="A4" sqref="A4"/>
      <selection pane="topRight" activeCell="AU8" sqref="AU8:AY22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185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9</v>
      </c>
      <c r="B3" s="42"/>
      <c r="C3" s="43"/>
      <c r="D3" s="43"/>
      <c r="E3" s="127">
        <v>1</v>
      </c>
      <c r="F3" s="43"/>
      <c r="G3" s="43"/>
      <c r="H3" s="43"/>
      <c r="I3" s="127">
        <f>E3+1</f>
        <v>2</v>
      </c>
      <c r="J3" s="42"/>
      <c r="K3" s="42"/>
      <c r="L3" s="127">
        <f>I3+1</f>
        <v>3</v>
      </c>
      <c r="M3" s="43"/>
      <c r="N3" s="127">
        <f>L3+1</f>
        <v>4</v>
      </c>
      <c r="O3" s="43"/>
      <c r="P3" s="127">
        <f>N3+1</f>
        <v>5</v>
      </c>
      <c r="Q3" s="43"/>
      <c r="R3" s="127">
        <f>P3+1</f>
        <v>6</v>
      </c>
      <c r="S3" s="43"/>
      <c r="T3" s="127">
        <f>R3+1</f>
        <v>7</v>
      </c>
      <c r="U3" s="43"/>
      <c r="V3" s="127">
        <f>T3+1</f>
        <v>8</v>
      </c>
      <c r="W3" s="43"/>
      <c r="X3" s="127">
        <f>V3+1</f>
        <v>9</v>
      </c>
      <c r="Y3" s="43"/>
      <c r="Z3" s="127">
        <f>X3+1</f>
        <v>10</v>
      </c>
      <c r="AA3" s="43"/>
      <c r="AB3" s="127">
        <f>Z3+1</f>
        <v>11</v>
      </c>
      <c r="AC3" s="43"/>
      <c r="AD3" s="127">
        <f>AB3+1</f>
        <v>12</v>
      </c>
      <c r="AE3" s="127">
        <f>AD3+1</f>
        <v>13</v>
      </c>
      <c r="AF3" s="127">
        <f>AE3+1</f>
        <v>14</v>
      </c>
      <c r="AG3" s="43"/>
      <c r="AH3" s="43"/>
      <c r="AI3" s="127">
        <f>AF3+1</f>
        <v>15</v>
      </c>
      <c r="AJ3" s="43"/>
      <c r="AK3" s="43"/>
      <c r="AL3" s="127">
        <f>AI3+1</f>
        <v>16</v>
      </c>
      <c r="AM3" s="44"/>
      <c r="AN3" s="44"/>
      <c r="AO3" s="127">
        <f>AL3+1</f>
        <v>17</v>
      </c>
    </row>
    <row r="4" spans="1:52" ht="13.15" customHeight="1" x14ac:dyDescent="0.2">
      <c r="A4" s="170" t="s">
        <v>1</v>
      </c>
      <c r="B4" s="170" t="s">
        <v>2</v>
      </c>
      <c r="C4" s="184" t="s">
        <v>183</v>
      </c>
      <c r="D4" s="171" t="s">
        <v>156</v>
      </c>
      <c r="E4" s="184" t="s">
        <v>117</v>
      </c>
      <c r="F4" s="171" t="s">
        <v>118</v>
      </c>
      <c r="G4" s="171" t="s">
        <v>120</v>
      </c>
      <c r="H4" s="171" t="s">
        <v>157</v>
      </c>
      <c r="I4" s="184" t="s">
        <v>119</v>
      </c>
      <c r="J4" s="171" t="s">
        <v>121</v>
      </c>
      <c r="K4" s="171" t="s">
        <v>158</v>
      </c>
      <c r="L4" s="184" t="s">
        <v>123</v>
      </c>
      <c r="M4" s="171" t="s">
        <v>156</v>
      </c>
      <c r="N4" s="184" t="s">
        <v>95</v>
      </c>
      <c r="O4" s="171" t="s">
        <v>156</v>
      </c>
      <c r="P4" s="184" t="s">
        <v>122</v>
      </c>
      <c r="Q4" s="171" t="s">
        <v>156</v>
      </c>
      <c r="R4" s="184" t="s">
        <v>124</v>
      </c>
      <c r="S4" s="171" t="s">
        <v>156</v>
      </c>
      <c r="T4" s="184" t="s">
        <v>62</v>
      </c>
      <c r="U4" s="171" t="s">
        <v>156</v>
      </c>
      <c r="V4" s="184" t="s">
        <v>63</v>
      </c>
      <c r="W4" s="171" t="s">
        <v>156</v>
      </c>
      <c r="X4" s="184" t="s">
        <v>125</v>
      </c>
      <c r="Y4" s="171" t="s">
        <v>156</v>
      </c>
      <c r="Z4" s="184" t="s">
        <v>126</v>
      </c>
      <c r="AA4" s="171" t="s">
        <v>156</v>
      </c>
      <c r="AB4" s="184" t="s">
        <v>127</v>
      </c>
      <c r="AC4" s="171" t="s">
        <v>156</v>
      </c>
      <c r="AD4" s="184" t="s">
        <v>128</v>
      </c>
      <c r="AE4" s="184" t="s">
        <v>129</v>
      </c>
      <c r="AF4" s="184" t="s">
        <v>130</v>
      </c>
      <c r="AG4" s="171" t="s">
        <v>132</v>
      </c>
      <c r="AH4" s="171" t="s">
        <v>159</v>
      </c>
      <c r="AI4" s="184" t="s">
        <v>131</v>
      </c>
      <c r="AJ4" s="171" t="s">
        <v>136</v>
      </c>
      <c r="AK4" s="171" t="s">
        <v>64</v>
      </c>
      <c r="AL4" s="184" t="s">
        <v>133</v>
      </c>
      <c r="AM4" s="171" t="s">
        <v>135</v>
      </c>
      <c r="AN4" s="171" t="s">
        <v>160</v>
      </c>
      <c r="AO4" s="184" t="s">
        <v>134</v>
      </c>
      <c r="AP4" s="184" t="s">
        <v>65</v>
      </c>
      <c r="AQ4" s="184" t="s">
        <v>10</v>
      </c>
      <c r="AR4" s="184" t="s">
        <v>36</v>
      </c>
    </row>
    <row r="5" spans="1:52" ht="13.15" customHeight="1" x14ac:dyDescent="0.2">
      <c r="A5" s="170"/>
      <c r="B5" s="185"/>
      <c r="C5" s="184"/>
      <c r="D5" s="171"/>
      <c r="E5" s="184"/>
      <c r="F5" s="171"/>
      <c r="G5" s="171"/>
      <c r="H5" s="171"/>
      <c r="I5" s="184"/>
      <c r="J5" s="171"/>
      <c r="K5" s="171"/>
      <c r="L5" s="184"/>
      <c r="M5" s="171"/>
      <c r="N5" s="184"/>
      <c r="O5" s="171"/>
      <c r="P5" s="184"/>
      <c r="Q5" s="171"/>
      <c r="R5" s="184"/>
      <c r="S5" s="171"/>
      <c r="T5" s="184"/>
      <c r="U5" s="171"/>
      <c r="V5" s="184"/>
      <c r="W5" s="171"/>
      <c r="X5" s="184"/>
      <c r="Y5" s="171"/>
      <c r="Z5" s="184"/>
      <c r="AA5" s="171"/>
      <c r="AB5" s="184"/>
      <c r="AC5" s="171"/>
      <c r="AD5" s="184"/>
      <c r="AE5" s="184"/>
      <c r="AF5" s="184"/>
      <c r="AG5" s="171"/>
      <c r="AH5" s="171"/>
      <c r="AI5" s="184"/>
      <c r="AJ5" s="171"/>
      <c r="AK5" s="171"/>
      <c r="AL5" s="184"/>
      <c r="AM5" s="171"/>
      <c r="AN5" s="171"/>
      <c r="AO5" s="184"/>
      <c r="AP5" s="184"/>
      <c r="AQ5" s="184"/>
      <c r="AR5" s="184"/>
    </row>
    <row r="6" spans="1:52" ht="152.25" customHeight="1" x14ac:dyDescent="0.2">
      <c r="A6" s="170"/>
      <c r="B6" s="170"/>
      <c r="C6" s="184"/>
      <c r="D6" s="171"/>
      <c r="E6" s="184"/>
      <c r="F6" s="171"/>
      <c r="G6" s="171"/>
      <c r="H6" s="171"/>
      <c r="I6" s="184"/>
      <c r="J6" s="171"/>
      <c r="K6" s="171"/>
      <c r="L6" s="184"/>
      <c r="M6" s="171"/>
      <c r="N6" s="184"/>
      <c r="O6" s="171"/>
      <c r="P6" s="184"/>
      <c r="Q6" s="171"/>
      <c r="R6" s="184"/>
      <c r="S6" s="171"/>
      <c r="T6" s="184"/>
      <c r="U6" s="171"/>
      <c r="V6" s="184"/>
      <c r="W6" s="171"/>
      <c r="X6" s="184"/>
      <c r="Y6" s="171"/>
      <c r="Z6" s="184"/>
      <c r="AA6" s="171"/>
      <c r="AB6" s="184"/>
      <c r="AC6" s="171"/>
      <c r="AD6" s="184"/>
      <c r="AE6" s="184"/>
      <c r="AF6" s="184"/>
      <c r="AG6" s="171"/>
      <c r="AH6" s="171"/>
      <c r="AI6" s="184"/>
      <c r="AJ6" s="171"/>
      <c r="AK6" s="171"/>
      <c r="AL6" s="184"/>
      <c r="AM6" s="171"/>
      <c r="AN6" s="171"/>
      <c r="AO6" s="184"/>
      <c r="AP6" s="184"/>
      <c r="AQ6" s="184"/>
      <c r="AR6" s="184"/>
      <c r="AT6" s="7"/>
    </row>
    <row r="7" spans="1:52" ht="15" x14ac:dyDescent="0.25">
      <c r="A7" s="187" t="s">
        <v>66</v>
      </c>
      <c r="B7" s="188"/>
      <c r="C7" s="153">
        <v>1</v>
      </c>
      <c r="D7" s="153">
        <v>2</v>
      </c>
      <c r="E7" s="153" t="s">
        <v>137</v>
      </c>
      <c r="F7" s="153" t="s">
        <v>138</v>
      </c>
      <c r="G7" s="136" t="s">
        <v>139</v>
      </c>
      <c r="H7" s="153">
        <v>6</v>
      </c>
      <c r="I7" s="153" t="s">
        <v>161</v>
      </c>
      <c r="J7" s="153">
        <v>8</v>
      </c>
      <c r="K7" s="153">
        <v>9</v>
      </c>
      <c r="L7" s="153" t="s">
        <v>140</v>
      </c>
      <c r="M7" s="153">
        <v>11</v>
      </c>
      <c r="N7" s="153" t="s">
        <v>141</v>
      </c>
      <c r="O7" s="153">
        <v>13</v>
      </c>
      <c r="P7" s="153" t="s">
        <v>142</v>
      </c>
      <c r="Q7" s="153">
        <v>15</v>
      </c>
      <c r="R7" s="153" t="s">
        <v>143</v>
      </c>
      <c r="S7" s="153">
        <v>17</v>
      </c>
      <c r="T7" s="153" t="s">
        <v>144</v>
      </c>
      <c r="U7" s="153">
        <v>19</v>
      </c>
      <c r="V7" s="153" t="s">
        <v>145</v>
      </c>
      <c r="W7" s="153">
        <v>21</v>
      </c>
      <c r="X7" s="153" t="s">
        <v>146</v>
      </c>
      <c r="Y7" s="153">
        <v>23</v>
      </c>
      <c r="Z7" s="153" t="s">
        <v>147</v>
      </c>
      <c r="AA7" s="153">
        <v>25</v>
      </c>
      <c r="AB7" s="153" t="s">
        <v>148</v>
      </c>
      <c r="AC7" s="153">
        <v>27</v>
      </c>
      <c r="AD7" s="153" t="s">
        <v>149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150</v>
      </c>
      <c r="AJ7" s="153">
        <v>34</v>
      </c>
      <c r="AK7" s="153">
        <v>35</v>
      </c>
      <c r="AL7" s="153" t="s">
        <v>151</v>
      </c>
      <c r="AM7" s="153">
        <v>37</v>
      </c>
      <c r="AN7" s="153">
        <v>38</v>
      </c>
      <c r="AO7" s="153" t="s">
        <v>152</v>
      </c>
      <c r="AP7" s="153" t="s">
        <v>153</v>
      </c>
      <c r="AQ7" s="153" t="s">
        <v>154</v>
      </c>
      <c r="AR7" s="137" t="s">
        <v>155</v>
      </c>
      <c r="AU7" s="161"/>
      <c r="AV7" s="161"/>
      <c r="AW7" s="161"/>
      <c r="AX7" s="161"/>
      <c r="AY7" s="163"/>
      <c r="AZ7" s="161"/>
    </row>
    <row r="8" spans="1:52" ht="15" x14ac:dyDescent="0.25">
      <c r="A8" s="186"/>
      <c r="B8" s="186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3"/>
      <c r="AO8" s="140"/>
      <c r="AP8" s="141"/>
      <c r="AQ8" s="141"/>
      <c r="AR8" s="142" t="s">
        <v>8</v>
      </c>
      <c r="AU8" s="161"/>
      <c r="AV8" s="161"/>
      <c r="AW8" s="161"/>
      <c r="AX8" s="161"/>
      <c r="AY8" s="163"/>
      <c r="AZ8" s="161"/>
    </row>
    <row r="9" spans="1:52" s="131" customFormat="1" ht="19.5" customHeight="1" x14ac:dyDescent="0.25">
      <c r="A9" s="30" t="s">
        <v>28</v>
      </c>
      <c r="B9" s="55" t="s">
        <v>167</v>
      </c>
      <c r="C9" s="133">
        <v>7884</v>
      </c>
      <c r="D9" s="75"/>
      <c r="E9" s="56">
        <f>C9*D9</f>
        <v>0</v>
      </c>
      <c r="F9" s="158">
        <f>ROUND(C9*5%,0)</f>
        <v>394</v>
      </c>
      <c r="G9" s="158">
        <f>F9*18</f>
        <v>7092</v>
      </c>
      <c r="H9" s="67"/>
      <c r="I9" s="56">
        <f>G9*H9/1000*1%</f>
        <v>0</v>
      </c>
      <c r="J9" s="132"/>
      <c r="K9" s="132">
        <v>2.58</v>
      </c>
      <c r="L9" s="56">
        <f>J9*K9</f>
        <v>0</v>
      </c>
      <c r="M9" s="75">
        <v>1.47E-2</v>
      </c>
      <c r="N9" s="56">
        <f>C9*M9</f>
        <v>115.89479999999999</v>
      </c>
      <c r="O9" s="75">
        <v>4.6600000000000003E-2</v>
      </c>
      <c r="P9" s="56">
        <f>C9*O9</f>
        <v>367.39440000000002</v>
      </c>
      <c r="Q9" s="75"/>
      <c r="R9" s="56">
        <f>C9*Q9</f>
        <v>0</v>
      </c>
      <c r="S9" s="75">
        <v>1E-3</v>
      </c>
      <c r="T9" s="56">
        <f>C9*S9</f>
        <v>7.8840000000000003</v>
      </c>
      <c r="U9" s="75"/>
      <c r="V9" s="56">
        <f>C9*U9</f>
        <v>0</v>
      </c>
      <c r="W9" s="75">
        <v>8.0000000000000002E-3</v>
      </c>
      <c r="X9" s="56">
        <f>C9*W9</f>
        <v>63.072000000000003</v>
      </c>
      <c r="Y9" s="75">
        <v>9.5399999999999999E-2</v>
      </c>
      <c r="Z9" s="56">
        <f>C9*Y9</f>
        <v>752.1336</v>
      </c>
      <c r="AA9" s="75">
        <v>0.19400000000000001</v>
      </c>
      <c r="AB9" s="56">
        <f>C9*AA9</f>
        <v>1529.4960000000001</v>
      </c>
      <c r="AC9" s="75">
        <v>1E-3</v>
      </c>
      <c r="AD9" s="56">
        <f t="shared" ref="AD9:AD21" si="0">C9*AC9</f>
        <v>7.8840000000000003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1271.42</v>
      </c>
      <c r="AN9" s="160">
        <v>5.5</v>
      </c>
      <c r="AO9" s="56">
        <f>AM9*AN9*12/1000</f>
        <v>83.913719999999998</v>
      </c>
      <c r="AP9" s="58">
        <f>E9+I9+L9+N9+P9+R9+T9+V9+X9+Z9+AB9+AD9+AE9+AF9+AI9+AL9+AO9</f>
        <v>2938.1725200000001</v>
      </c>
      <c r="AQ9" s="143">
        <f t="shared" ref="AQ9:AQ21" si="1">AP9/C9</f>
        <v>0.3726753576864536</v>
      </c>
      <c r="AR9" s="144">
        <f t="shared" ref="AR9:AR16" si="2">ROUND((AP9/C9)/($AP$22/$C$22),5)</f>
        <v>0.61385999999999996</v>
      </c>
      <c r="AS9" s="130"/>
      <c r="AU9" s="162"/>
      <c r="AV9" s="162"/>
      <c r="AW9" s="162"/>
      <c r="AX9" s="162"/>
      <c r="AY9" s="163"/>
      <c r="AZ9" s="162"/>
    </row>
    <row r="10" spans="1:52" s="131" customFormat="1" ht="19.5" customHeight="1" x14ac:dyDescent="0.25">
      <c r="A10" s="30" t="s">
        <v>24</v>
      </c>
      <c r="B10" s="64" t="s">
        <v>168</v>
      </c>
      <c r="C10" s="133">
        <v>818</v>
      </c>
      <c r="D10" s="75">
        <v>0.66100000000000003</v>
      </c>
      <c r="E10" s="56">
        <f t="shared" ref="E10:E21" si="3">C10*D10</f>
        <v>540.69799999999998</v>
      </c>
      <c r="F10" s="158">
        <f t="shared" ref="F10:F21" si="4">ROUND(C10*5%,0)</f>
        <v>41</v>
      </c>
      <c r="G10" s="158">
        <f t="shared" ref="G10:G21" si="5">F10*18</f>
        <v>738</v>
      </c>
      <c r="H10" s="67"/>
      <c r="I10" s="56">
        <f t="shared" ref="I10:I21" si="6">G10*H10/1000*1%</f>
        <v>0</v>
      </c>
      <c r="J10" s="132"/>
      <c r="K10" s="132">
        <v>2.58</v>
      </c>
      <c r="L10" s="56">
        <f t="shared" ref="L10:L21" si="7">J10*K10</f>
        <v>0</v>
      </c>
      <c r="M10" s="75">
        <v>2.4199999999999999E-2</v>
      </c>
      <c r="N10" s="56">
        <f t="shared" ref="N10:N21" si="8">C10*M10</f>
        <v>19.7956</v>
      </c>
      <c r="O10" s="75"/>
      <c r="P10" s="56">
        <f t="shared" ref="P10:P21" si="9">C10*O10</f>
        <v>0</v>
      </c>
      <c r="Q10" s="75"/>
      <c r="R10" s="56">
        <f t="shared" ref="R10:R21" si="10">C10*Q10</f>
        <v>0</v>
      </c>
      <c r="S10" s="75">
        <v>1E-3</v>
      </c>
      <c r="T10" s="56">
        <f t="shared" ref="T10:T21" si="11">C10*S10</f>
        <v>0.81800000000000006</v>
      </c>
      <c r="U10" s="75"/>
      <c r="V10" s="56">
        <f t="shared" ref="V10:V21" si="12">C10*U10</f>
        <v>0</v>
      </c>
      <c r="W10" s="75">
        <v>7.0000000000000001E-3</v>
      </c>
      <c r="X10" s="56">
        <f t="shared" ref="X10:X21" si="13">C10*W10</f>
        <v>5.726</v>
      </c>
      <c r="Y10" s="75">
        <v>4.7800000000000002E-2</v>
      </c>
      <c r="Z10" s="56">
        <f t="shared" ref="Z10:Z21" si="14">C10*Y10</f>
        <v>39.1004</v>
      </c>
      <c r="AA10" s="75">
        <v>4.1000000000000002E-2</v>
      </c>
      <c r="AB10" s="56">
        <f t="shared" ref="AB10:AB21" si="15">C10*AA10</f>
        <v>33.538000000000004</v>
      </c>
      <c r="AC10" s="75">
        <v>1E-3</v>
      </c>
      <c r="AD10" s="56">
        <f t="shared" si="0"/>
        <v>0.81800000000000006</v>
      </c>
      <c r="AE10" s="56"/>
      <c r="AF10" s="56"/>
      <c r="AG10" s="67"/>
      <c r="AH10" s="75"/>
      <c r="AI10" s="56">
        <f t="shared" ref="AI10:AI21" si="16">AG10*AH10</f>
        <v>0</v>
      </c>
      <c r="AJ10" s="67">
        <v>1</v>
      </c>
      <c r="AK10" s="75">
        <v>10.5</v>
      </c>
      <c r="AL10" s="56">
        <f t="shared" ref="AL10:AL21" si="17">AJ10*AK10</f>
        <v>10.5</v>
      </c>
      <c r="AM10" s="61"/>
      <c r="AN10" s="61"/>
      <c r="AO10" s="56">
        <f t="shared" ref="AO10:AO21" si="18">AM10*AN10*12/1000</f>
        <v>0</v>
      </c>
      <c r="AP10" s="58">
        <f t="shared" ref="AP10:AP21" si="19">E10+I10+L10+N10+P10+R10+T10+V10+X10+Z10+AB10+AD10+AE10+AF10+AI10+AL10+AO10</f>
        <v>650.99400000000003</v>
      </c>
      <c r="AQ10" s="143">
        <f t="shared" si="1"/>
        <v>0.7958361858190709</v>
      </c>
      <c r="AR10" s="144">
        <f t="shared" si="2"/>
        <v>1.31088</v>
      </c>
      <c r="AS10" s="130"/>
      <c r="AU10" s="162"/>
      <c r="AV10" s="162"/>
      <c r="AW10" s="162"/>
      <c r="AX10" s="162"/>
      <c r="AY10" s="163"/>
      <c r="AZ10" s="162"/>
    </row>
    <row r="11" spans="1:52" s="131" customFormat="1" ht="19.5" customHeight="1" x14ac:dyDescent="0.25">
      <c r="A11" s="30" t="s">
        <v>27</v>
      </c>
      <c r="B11" s="64" t="s">
        <v>169</v>
      </c>
      <c r="C11" s="133">
        <v>697</v>
      </c>
      <c r="D11" s="75">
        <v>0.66100000000000003</v>
      </c>
      <c r="E11" s="56">
        <f t="shared" si="3"/>
        <v>460.71700000000004</v>
      </c>
      <c r="F11" s="158">
        <f t="shared" si="4"/>
        <v>35</v>
      </c>
      <c r="G11" s="158">
        <f t="shared" si="5"/>
        <v>630</v>
      </c>
      <c r="H11" s="67"/>
      <c r="I11" s="56">
        <f t="shared" si="6"/>
        <v>0</v>
      </c>
      <c r="J11" s="132"/>
      <c r="K11" s="132">
        <v>2.58</v>
      </c>
      <c r="L11" s="56">
        <f t="shared" si="7"/>
        <v>0</v>
      </c>
      <c r="M11" s="75">
        <v>2.4199999999999999E-2</v>
      </c>
      <c r="N11" s="56">
        <f t="shared" si="8"/>
        <v>16.8674</v>
      </c>
      <c r="O11" s="75"/>
      <c r="P11" s="56">
        <f t="shared" si="9"/>
        <v>0</v>
      </c>
      <c r="Q11" s="75"/>
      <c r="R11" s="56">
        <f t="shared" si="10"/>
        <v>0</v>
      </c>
      <c r="S11" s="75">
        <v>1E-3</v>
      </c>
      <c r="T11" s="56">
        <f t="shared" si="11"/>
        <v>0.69700000000000006</v>
      </c>
      <c r="U11" s="75"/>
      <c r="V11" s="56">
        <f t="shared" si="12"/>
        <v>0</v>
      </c>
      <c r="W11" s="75">
        <v>7.0000000000000001E-3</v>
      </c>
      <c r="X11" s="56">
        <f t="shared" si="13"/>
        <v>4.8790000000000004</v>
      </c>
      <c r="Y11" s="75">
        <v>4.7800000000000002E-2</v>
      </c>
      <c r="Z11" s="56">
        <f t="shared" si="14"/>
        <v>33.316600000000001</v>
      </c>
      <c r="AA11" s="75">
        <v>4.1000000000000002E-2</v>
      </c>
      <c r="AB11" s="56">
        <f t="shared" si="15"/>
        <v>28.577000000000002</v>
      </c>
      <c r="AC11" s="75">
        <v>1E-3</v>
      </c>
      <c r="AD11" s="56">
        <f t="shared" si="0"/>
        <v>0.69700000000000006</v>
      </c>
      <c r="AE11" s="56"/>
      <c r="AF11" s="56"/>
      <c r="AG11" s="67"/>
      <c r="AH11" s="75"/>
      <c r="AI11" s="56">
        <f t="shared" si="16"/>
        <v>0</v>
      </c>
      <c r="AJ11" s="67">
        <v>5</v>
      </c>
      <c r="AK11" s="75">
        <v>10.5</v>
      </c>
      <c r="AL11" s="56">
        <f t="shared" si="17"/>
        <v>52.5</v>
      </c>
      <c r="AM11" s="61"/>
      <c r="AN11" s="61"/>
      <c r="AO11" s="56">
        <f t="shared" si="18"/>
        <v>0</v>
      </c>
      <c r="AP11" s="58">
        <f t="shared" si="19"/>
        <v>598.25100000000009</v>
      </c>
      <c r="AQ11" s="143">
        <f t="shared" si="1"/>
        <v>0.85832281205165006</v>
      </c>
      <c r="AR11" s="144">
        <f t="shared" si="2"/>
        <v>1.41381</v>
      </c>
      <c r="AS11" s="130"/>
      <c r="AU11" s="162"/>
      <c r="AV11" s="162"/>
      <c r="AW11" s="162"/>
      <c r="AX11" s="162"/>
      <c r="AY11" s="163"/>
      <c r="AZ11" s="162"/>
    </row>
    <row r="12" spans="1:52" s="131" customFormat="1" ht="19.5" customHeight="1" x14ac:dyDescent="0.25">
      <c r="A12" s="30" t="s">
        <v>25</v>
      </c>
      <c r="B12" s="64" t="s">
        <v>170</v>
      </c>
      <c r="C12" s="133">
        <v>1250</v>
      </c>
      <c r="D12" s="75">
        <v>0.63100000000000001</v>
      </c>
      <c r="E12" s="56">
        <f t="shared" si="3"/>
        <v>788.75</v>
      </c>
      <c r="F12" s="158">
        <f t="shared" si="4"/>
        <v>63</v>
      </c>
      <c r="G12" s="158">
        <f t="shared" si="5"/>
        <v>1134</v>
      </c>
      <c r="H12" s="67"/>
      <c r="I12" s="56">
        <f t="shared" si="6"/>
        <v>0</v>
      </c>
      <c r="J12" s="132"/>
      <c r="K12" s="132">
        <v>2.58</v>
      </c>
      <c r="L12" s="56">
        <f t="shared" si="7"/>
        <v>0</v>
      </c>
      <c r="M12" s="75">
        <v>2.4199999999999999E-2</v>
      </c>
      <c r="N12" s="56">
        <f t="shared" si="8"/>
        <v>30.25</v>
      </c>
      <c r="O12" s="75"/>
      <c r="P12" s="56">
        <f t="shared" si="9"/>
        <v>0</v>
      </c>
      <c r="Q12" s="75"/>
      <c r="R12" s="56">
        <f>C12*Q12</f>
        <v>0</v>
      </c>
      <c r="S12" s="75">
        <v>1E-3</v>
      </c>
      <c r="T12" s="56">
        <f t="shared" si="11"/>
        <v>1.25</v>
      </c>
      <c r="U12" s="75"/>
      <c r="V12" s="56">
        <f t="shared" si="12"/>
        <v>0</v>
      </c>
      <c r="W12" s="75">
        <v>7.0000000000000001E-3</v>
      </c>
      <c r="X12" s="56">
        <f t="shared" si="13"/>
        <v>8.75</v>
      </c>
      <c r="Y12" s="75">
        <v>4.7800000000000002E-2</v>
      </c>
      <c r="Z12" s="56">
        <f t="shared" si="14"/>
        <v>59.75</v>
      </c>
      <c r="AA12" s="75">
        <v>4.1000000000000002E-2</v>
      </c>
      <c r="AB12" s="56">
        <f t="shared" si="15"/>
        <v>51.25</v>
      </c>
      <c r="AC12" s="75">
        <v>1E-3</v>
      </c>
      <c r="AD12" s="56">
        <f t="shared" si="0"/>
        <v>1.25</v>
      </c>
      <c r="AE12" s="56"/>
      <c r="AF12" s="56"/>
      <c r="AG12" s="67"/>
      <c r="AH12" s="75"/>
      <c r="AI12" s="56">
        <f t="shared" si="16"/>
        <v>0</v>
      </c>
      <c r="AJ12" s="67">
        <v>0</v>
      </c>
      <c r="AK12" s="75">
        <v>10.5</v>
      </c>
      <c r="AL12" s="56">
        <f t="shared" si="17"/>
        <v>0</v>
      </c>
      <c r="AM12" s="61"/>
      <c r="AN12" s="61"/>
      <c r="AO12" s="56">
        <f t="shared" si="18"/>
        <v>0</v>
      </c>
      <c r="AP12" s="58">
        <f t="shared" si="19"/>
        <v>941.25</v>
      </c>
      <c r="AQ12" s="143">
        <f t="shared" si="1"/>
        <v>0.753</v>
      </c>
      <c r="AR12" s="144">
        <f t="shared" si="2"/>
        <v>1.2403200000000001</v>
      </c>
      <c r="AS12" s="130"/>
      <c r="AU12" s="162"/>
      <c r="AV12" s="162"/>
      <c r="AW12" s="162"/>
      <c r="AX12" s="162"/>
      <c r="AY12" s="163"/>
      <c r="AZ12" s="162"/>
    </row>
    <row r="13" spans="1:52" s="131" customFormat="1" ht="19.5" customHeight="1" x14ac:dyDescent="0.25">
      <c r="A13" s="30" t="s">
        <v>29</v>
      </c>
      <c r="B13" s="64" t="s">
        <v>171</v>
      </c>
      <c r="C13" s="133">
        <v>746</v>
      </c>
      <c r="D13" s="75">
        <v>0.66100000000000003</v>
      </c>
      <c r="E13" s="56">
        <f t="shared" si="3"/>
        <v>493.10600000000005</v>
      </c>
      <c r="F13" s="158">
        <f t="shared" si="4"/>
        <v>37</v>
      </c>
      <c r="G13" s="158">
        <f t="shared" si="5"/>
        <v>666</v>
      </c>
      <c r="H13" s="67"/>
      <c r="I13" s="56">
        <f t="shared" si="6"/>
        <v>0</v>
      </c>
      <c r="J13" s="132"/>
      <c r="K13" s="132">
        <v>2.58</v>
      </c>
      <c r="L13" s="56">
        <f t="shared" si="7"/>
        <v>0</v>
      </c>
      <c r="M13" s="75">
        <v>2.4199999999999999E-2</v>
      </c>
      <c r="N13" s="56">
        <f t="shared" si="8"/>
        <v>18.0532</v>
      </c>
      <c r="O13" s="75"/>
      <c r="P13" s="56">
        <f t="shared" si="9"/>
        <v>0</v>
      </c>
      <c r="Q13" s="75"/>
      <c r="R13" s="56">
        <f t="shared" si="10"/>
        <v>0</v>
      </c>
      <c r="S13" s="75">
        <v>1E-3</v>
      </c>
      <c r="T13" s="56">
        <f t="shared" si="11"/>
        <v>0.746</v>
      </c>
      <c r="U13" s="75"/>
      <c r="V13" s="56">
        <f t="shared" si="12"/>
        <v>0</v>
      </c>
      <c r="W13" s="75">
        <v>7.0000000000000001E-3</v>
      </c>
      <c r="X13" s="56">
        <f t="shared" si="13"/>
        <v>5.2220000000000004</v>
      </c>
      <c r="Y13" s="75">
        <v>4.7800000000000002E-2</v>
      </c>
      <c r="Z13" s="56">
        <f t="shared" si="14"/>
        <v>35.658799999999999</v>
      </c>
      <c r="AA13" s="75">
        <v>4.1000000000000002E-2</v>
      </c>
      <c r="AB13" s="56">
        <f t="shared" si="15"/>
        <v>30.586000000000002</v>
      </c>
      <c r="AC13" s="75">
        <v>1E-3</v>
      </c>
      <c r="AD13" s="56">
        <f t="shared" si="0"/>
        <v>0.746</v>
      </c>
      <c r="AE13" s="56"/>
      <c r="AF13" s="56"/>
      <c r="AG13" s="67"/>
      <c r="AH13" s="75"/>
      <c r="AI13" s="56">
        <f t="shared" si="16"/>
        <v>0</v>
      </c>
      <c r="AJ13" s="67">
        <v>1</v>
      </c>
      <c r="AK13" s="75">
        <v>10.5</v>
      </c>
      <c r="AL13" s="56">
        <f t="shared" si="17"/>
        <v>10.5</v>
      </c>
      <c r="AM13" s="61"/>
      <c r="AN13" s="61"/>
      <c r="AO13" s="56">
        <f t="shared" si="18"/>
        <v>0</v>
      </c>
      <c r="AP13" s="58">
        <f t="shared" si="19"/>
        <v>594.61800000000005</v>
      </c>
      <c r="AQ13" s="143">
        <f t="shared" si="1"/>
        <v>0.79707506702412878</v>
      </c>
      <c r="AR13" s="144">
        <f t="shared" si="2"/>
        <v>1.3129200000000001</v>
      </c>
      <c r="AS13" s="130"/>
      <c r="AU13" s="162"/>
      <c r="AV13" s="162"/>
      <c r="AW13" s="162"/>
      <c r="AX13" s="162"/>
      <c r="AY13" s="163"/>
      <c r="AZ13" s="162"/>
    </row>
    <row r="14" spans="1:52" s="131" customFormat="1" ht="19.5" customHeight="1" x14ac:dyDescent="0.25">
      <c r="A14" s="30" t="s">
        <v>30</v>
      </c>
      <c r="B14" s="64" t="s">
        <v>172</v>
      </c>
      <c r="C14" s="133">
        <v>1044</v>
      </c>
      <c r="D14" s="75">
        <v>0.63100000000000001</v>
      </c>
      <c r="E14" s="56">
        <f t="shared" si="3"/>
        <v>658.76400000000001</v>
      </c>
      <c r="F14" s="158">
        <f t="shared" si="4"/>
        <v>52</v>
      </c>
      <c r="G14" s="158">
        <f t="shared" si="5"/>
        <v>936</v>
      </c>
      <c r="H14" s="67"/>
      <c r="I14" s="56">
        <f t="shared" si="6"/>
        <v>0</v>
      </c>
      <c r="J14" s="132"/>
      <c r="K14" s="132">
        <v>2.58</v>
      </c>
      <c r="L14" s="56">
        <f t="shared" si="7"/>
        <v>0</v>
      </c>
      <c r="M14" s="75">
        <v>2.4199999999999999E-2</v>
      </c>
      <c r="N14" s="56">
        <f t="shared" si="8"/>
        <v>25.264800000000001</v>
      </c>
      <c r="O14" s="75"/>
      <c r="P14" s="56">
        <f t="shared" si="9"/>
        <v>0</v>
      </c>
      <c r="Q14" s="75"/>
      <c r="R14" s="56">
        <f t="shared" si="10"/>
        <v>0</v>
      </c>
      <c r="S14" s="75">
        <v>1E-3</v>
      </c>
      <c r="T14" s="56">
        <f t="shared" si="11"/>
        <v>1.044</v>
      </c>
      <c r="U14" s="75"/>
      <c r="V14" s="56">
        <f t="shared" si="12"/>
        <v>0</v>
      </c>
      <c r="W14" s="75">
        <v>7.0000000000000001E-3</v>
      </c>
      <c r="X14" s="56">
        <f t="shared" si="13"/>
        <v>7.3079999999999998</v>
      </c>
      <c r="Y14" s="75">
        <v>4.7800000000000002E-2</v>
      </c>
      <c r="Z14" s="56">
        <f t="shared" si="14"/>
        <v>49.903200000000005</v>
      </c>
      <c r="AA14" s="75">
        <v>4.1000000000000002E-2</v>
      </c>
      <c r="AB14" s="56">
        <f t="shared" si="15"/>
        <v>42.804000000000002</v>
      </c>
      <c r="AC14" s="75">
        <v>1E-3</v>
      </c>
      <c r="AD14" s="56">
        <f t="shared" si="0"/>
        <v>1.044</v>
      </c>
      <c r="AE14" s="56"/>
      <c r="AF14" s="56"/>
      <c r="AG14" s="67"/>
      <c r="AH14" s="75"/>
      <c r="AI14" s="56">
        <f t="shared" si="16"/>
        <v>0</v>
      </c>
      <c r="AJ14" s="67">
        <v>0</v>
      </c>
      <c r="AK14" s="75">
        <v>10.5</v>
      </c>
      <c r="AL14" s="56">
        <f t="shared" si="17"/>
        <v>0</v>
      </c>
      <c r="AM14" s="61"/>
      <c r="AN14" s="61"/>
      <c r="AO14" s="56">
        <f t="shared" si="18"/>
        <v>0</v>
      </c>
      <c r="AP14" s="58">
        <f t="shared" si="19"/>
        <v>786.13199999999995</v>
      </c>
      <c r="AQ14" s="143">
        <f t="shared" si="1"/>
        <v>0.753</v>
      </c>
      <c r="AR14" s="144">
        <f t="shared" si="2"/>
        <v>1.2403200000000001</v>
      </c>
      <c r="AS14" s="130"/>
      <c r="AU14" s="162"/>
      <c r="AV14" s="162"/>
      <c r="AW14" s="162"/>
      <c r="AX14" s="162"/>
      <c r="AY14" s="163"/>
      <c r="AZ14" s="162"/>
    </row>
    <row r="15" spans="1:52" s="131" customFormat="1" ht="19.5" customHeight="1" x14ac:dyDescent="0.25">
      <c r="A15" s="30" t="s">
        <v>26</v>
      </c>
      <c r="B15" s="64" t="s">
        <v>173</v>
      </c>
      <c r="C15" s="133">
        <v>586</v>
      </c>
      <c r="D15" s="75">
        <v>0.66100000000000003</v>
      </c>
      <c r="E15" s="56">
        <f t="shared" si="3"/>
        <v>387.346</v>
      </c>
      <c r="F15" s="158">
        <f t="shared" si="4"/>
        <v>29</v>
      </c>
      <c r="G15" s="158">
        <f t="shared" si="5"/>
        <v>522</v>
      </c>
      <c r="H15" s="67"/>
      <c r="I15" s="56">
        <f t="shared" si="6"/>
        <v>0</v>
      </c>
      <c r="J15" s="132"/>
      <c r="K15" s="132">
        <v>2.58</v>
      </c>
      <c r="L15" s="56">
        <f t="shared" si="7"/>
        <v>0</v>
      </c>
      <c r="M15" s="75">
        <v>2.4199999999999999E-2</v>
      </c>
      <c r="N15" s="56">
        <f t="shared" si="8"/>
        <v>14.1812</v>
      </c>
      <c r="O15" s="75"/>
      <c r="P15" s="56">
        <f t="shared" si="9"/>
        <v>0</v>
      </c>
      <c r="Q15" s="75"/>
      <c r="R15" s="56">
        <f t="shared" si="10"/>
        <v>0</v>
      </c>
      <c r="S15" s="75">
        <v>1E-3</v>
      </c>
      <c r="T15" s="56">
        <f t="shared" si="11"/>
        <v>0.58599999999999997</v>
      </c>
      <c r="U15" s="75"/>
      <c r="V15" s="56">
        <f t="shared" si="12"/>
        <v>0</v>
      </c>
      <c r="W15" s="75">
        <v>7.0000000000000001E-3</v>
      </c>
      <c r="X15" s="56">
        <f t="shared" si="13"/>
        <v>4.1020000000000003</v>
      </c>
      <c r="Y15" s="75">
        <v>4.7800000000000002E-2</v>
      </c>
      <c r="Z15" s="56">
        <f t="shared" si="14"/>
        <v>28.0108</v>
      </c>
      <c r="AA15" s="75">
        <v>4.1000000000000002E-2</v>
      </c>
      <c r="AB15" s="56">
        <f t="shared" si="15"/>
        <v>24.026</v>
      </c>
      <c r="AC15" s="75">
        <v>1E-3</v>
      </c>
      <c r="AD15" s="56">
        <f t="shared" si="0"/>
        <v>0.58599999999999997</v>
      </c>
      <c r="AE15" s="56"/>
      <c r="AF15" s="56"/>
      <c r="AG15" s="67"/>
      <c r="AH15" s="75"/>
      <c r="AI15" s="56">
        <f t="shared" si="16"/>
        <v>0</v>
      </c>
      <c r="AJ15" s="67">
        <v>3</v>
      </c>
      <c r="AK15" s="75">
        <v>10.5</v>
      </c>
      <c r="AL15" s="56">
        <f t="shared" si="17"/>
        <v>31.5</v>
      </c>
      <c r="AM15" s="61"/>
      <c r="AN15" s="61"/>
      <c r="AO15" s="56">
        <f t="shared" si="18"/>
        <v>0</v>
      </c>
      <c r="AP15" s="58">
        <f t="shared" si="19"/>
        <v>490.33800000000002</v>
      </c>
      <c r="AQ15" s="143">
        <f t="shared" si="1"/>
        <v>0.83675426621160409</v>
      </c>
      <c r="AR15" s="144">
        <f t="shared" si="2"/>
        <v>1.3782799999999999</v>
      </c>
      <c r="AS15" s="130"/>
      <c r="AU15" s="162"/>
      <c r="AV15" s="162"/>
      <c r="AW15" s="162"/>
      <c r="AX15" s="162"/>
      <c r="AY15" s="163"/>
      <c r="AZ15" s="162"/>
    </row>
    <row r="16" spans="1:52" s="131" customFormat="1" ht="19.5" customHeight="1" x14ac:dyDescent="0.25">
      <c r="A16" s="30" t="s">
        <v>31</v>
      </c>
      <c r="B16" s="64" t="s">
        <v>174</v>
      </c>
      <c r="C16" s="133">
        <v>1448</v>
      </c>
      <c r="D16" s="75">
        <v>0.63100000000000001</v>
      </c>
      <c r="E16" s="56">
        <f t="shared" si="3"/>
        <v>913.68799999999999</v>
      </c>
      <c r="F16" s="158">
        <f t="shared" si="4"/>
        <v>72</v>
      </c>
      <c r="G16" s="158">
        <f t="shared" si="5"/>
        <v>1296</v>
      </c>
      <c r="H16" s="67"/>
      <c r="I16" s="56">
        <f t="shared" si="6"/>
        <v>0</v>
      </c>
      <c r="J16" s="132"/>
      <c r="K16" s="132">
        <v>2.58</v>
      </c>
      <c r="L16" s="56">
        <f t="shared" si="7"/>
        <v>0</v>
      </c>
      <c r="M16" s="75">
        <v>2.4199999999999999E-2</v>
      </c>
      <c r="N16" s="56">
        <f t="shared" si="8"/>
        <v>35.041600000000003</v>
      </c>
      <c r="O16" s="75"/>
      <c r="P16" s="56">
        <f t="shared" si="9"/>
        <v>0</v>
      </c>
      <c r="Q16" s="75"/>
      <c r="R16" s="56">
        <f t="shared" si="10"/>
        <v>0</v>
      </c>
      <c r="S16" s="75">
        <v>1E-3</v>
      </c>
      <c r="T16" s="56">
        <f t="shared" si="11"/>
        <v>1.448</v>
      </c>
      <c r="U16" s="75"/>
      <c r="V16" s="56">
        <f t="shared" si="12"/>
        <v>0</v>
      </c>
      <c r="W16" s="75">
        <v>7.0000000000000001E-3</v>
      </c>
      <c r="X16" s="56">
        <f t="shared" si="13"/>
        <v>10.136000000000001</v>
      </c>
      <c r="Y16" s="75">
        <v>4.7800000000000002E-2</v>
      </c>
      <c r="Z16" s="56">
        <f t="shared" si="14"/>
        <v>69.214399999999998</v>
      </c>
      <c r="AA16" s="75">
        <v>4.1000000000000002E-2</v>
      </c>
      <c r="AB16" s="56">
        <f t="shared" si="15"/>
        <v>59.368000000000002</v>
      </c>
      <c r="AC16" s="75">
        <v>1E-3</v>
      </c>
      <c r="AD16" s="56">
        <f t="shared" si="0"/>
        <v>1.448</v>
      </c>
      <c r="AE16" s="56"/>
      <c r="AF16" s="56"/>
      <c r="AG16" s="67"/>
      <c r="AH16" s="75"/>
      <c r="AI16" s="56">
        <f t="shared" si="16"/>
        <v>0</v>
      </c>
      <c r="AJ16" s="67">
        <v>3</v>
      </c>
      <c r="AK16" s="75">
        <v>10.5</v>
      </c>
      <c r="AL16" s="56">
        <f t="shared" si="17"/>
        <v>31.5</v>
      </c>
      <c r="AM16" s="61"/>
      <c r="AN16" s="61"/>
      <c r="AO16" s="56">
        <f t="shared" si="18"/>
        <v>0</v>
      </c>
      <c r="AP16" s="58">
        <f t="shared" si="19"/>
        <v>1121.8440000000001</v>
      </c>
      <c r="AQ16" s="143">
        <f t="shared" si="1"/>
        <v>0.77475414364640882</v>
      </c>
      <c r="AR16" s="144">
        <f t="shared" si="2"/>
        <v>1.27616</v>
      </c>
      <c r="AS16" s="130"/>
      <c r="AU16" s="162"/>
      <c r="AV16" s="162"/>
      <c r="AW16" s="162"/>
      <c r="AX16" s="162"/>
      <c r="AY16" s="163"/>
      <c r="AZ16" s="162"/>
    </row>
    <row r="17" spans="1:52" s="131" customFormat="1" ht="19.5" customHeight="1" x14ac:dyDescent="0.25">
      <c r="A17" s="30" t="s">
        <v>32</v>
      </c>
      <c r="B17" s="64" t="s">
        <v>175</v>
      </c>
      <c r="C17" s="133">
        <v>741</v>
      </c>
      <c r="D17" s="75">
        <v>0.66100000000000003</v>
      </c>
      <c r="E17" s="56">
        <f t="shared" ref="E17:E18" si="20">C17*D17</f>
        <v>489.80100000000004</v>
      </c>
      <c r="F17" s="158">
        <f t="shared" ref="F17:F18" si="21">ROUND(C17*5%,0)</f>
        <v>37</v>
      </c>
      <c r="G17" s="158">
        <f t="shared" ref="G17:G18" si="22">F17*18</f>
        <v>666</v>
      </c>
      <c r="H17" s="67"/>
      <c r="I17" s="56">
        <f t="shared" ref="I17:I18" si="23">G17*H17/1000*1%</f>
        <v>0</v>
      </c>
      <c r="J17" s="132"/>
      <c r="K17" s="132">
        <v>2.58</v>
      </c>
      <c r="L17" s="56">
        <f t="shared" ref="L17:L18" si="24">J17*K17</f>
        <v>0</v>
      </c>
      <c r="M17" s="75">
        <v>2.4199999999999999E-2</v>
      </c>
      <c r="N17" s="56">
        <f t="shared" ref="N17:N18" si="25">C17*M17</f>
        <v>17.932199999999998</v>
      </c>
      <c r="O17" s="75"/>
      <c r="P17" s="56">
        <f t="shared" ref="P17:P18" si="26">C17*O17</f>
        <v>0</v>
      </c>
      <c r="Q17" s="75"/>
      <c r="R17" s="56">
        <f t="shared" ref="R17:R18" si="27">C17*Q17</f>
        <v>0</v>
      </c>
      <c r="S17" s="75">
        <v>1E-3</v>
      </c>
      <c r="T17" s="56">
        <f t="shared" ref="T17:T18" si="28">C17*S17</f>
        <v>0.74099999999999999</v>
      </c>
      <c r="U17" s="75"/>
      <c r="V17" s="56">
        <f t="shared" ref="V17:V18" si="29">C17*U17</f>
        <v>0</v>
      </c>
      <c r="W17" s="75">
        <v>7.0000000000000001E-3</v>
      </c>
      <c r="X17" s="56">
        <f t="shared" ref="X17:X18" si="30">C17*W17</f>
        <v>5.1870000000000003</v>
      </c>
      <c r="Y17" s="75">
        <v>4.7800000000000002E-2</v>
      </c>
      <c r="Z17" s="56">
        <f t="shared" ref="Z17:Z18" si="31">C17*Y17</f>
        <v>35.419800000000002</v>
      </c>
      <c r="AA17" s="75">
        <v>4.1000000000000002E-2</v>
      </c>
      <c r="AB17" s="56">
        <f t="shared" ref="AB17:AB18" si="32">C17*AA17</f>
        <v>30.381</v>
      </c>
      <c r="AC17" s="75">
        <v>1E-3</v>
      </c>
      <c r="AD17" s="56">
        <f t="shared" ref="AD17:AD18" si="33">C17*AC17</f>
        <v>0.74099999999999999</v>
      </c>
      <c r="AE17" s="56"/>
      <c r="AF17" s="56"/>
      <c r="AG17" s="67"/>
      <c r="AH17" s="75"/>
      <c r="AI17" s="56">
        <f t="shared" ref="AI17:AI18" si="34">AG17*AH17</f>
        <v>0</v>
      </c>
      <c r="AJ17" s="67">
        <v>2</v>
      </c>
      <c r="AK17" s="75">
        <v>10.5</v>
      </c>
      <c r="AL17" s="56">
        <f t="shared" ref="AL17:AL18" si="35">AJ17*AK17</f>
        <v>21</v>
      </c>
      <c r="AM17" s="61"/>
      <c r="AN17" s="61"/>
      <c r="AO17" s="56">
        <f t="shared" ref="AO17:AO18" si="36">AM17*AN17*12/1000</f>
        <v>0</v>
      </c>
      <c r="AP17" s="58">
        <f t="shared" ref="AP17:AP18" si="37">E17+I17+L17+N17+P17+R17+T17+V17+X17+Z17+AB17+AD17+AE17+AF17+AI17+AL17+AO17</f>
        <v>601.20299999999997</v>
      </c>
      <c r="AQ17" s="143">
        <f t="shared" ref="AQ17:AQ18" si="38">AP17/C17</f>
        <v>0.81134008097165988</v>
      </c>
      <c r="AR17" s="144">
        <f t="shared" ref="AR17:AR18" si="39">ROUND((AP17/C17)/($AP$22/$C$22),5)</f>
        <v>1.3364199999999999</v>
      </c>
      <c r="AS17" s="130"/>
      <c r="AU17" s="162"/>
      <c r="AV17" s="162"/>
      <c r="AW17" s="162"/>
      <c r="AX17" s="162"/>
      <c r="AY17" s="163"/>
      <c r="AZ17" s="162"/>
    </row>
    <row r="18" spans="1:52" s="131" customFormat="1" ht="19.5" customHeight="1" x14ac:dyDescent="0.25">
      <c r="A18" s="30" t="s">
        <v>4</v>
      </c>
      <c r="B18" s="64" t="s">
        <v>176</v>
      </c>
      <c r="C18" s="133">
        <v>637</v>
      </c>
      <c r="D18" s="75">
        <v>0.66100000000000003</v>
      </c>
      <c r="E18" s="56">
        <f t="shared" si="20"/>
        <v>421.05700000000002</v>
      </c>
      <c r="F18" s="158">
        <f t="shared" si="21"/>
        <v>32</v>
      </c>
      <c r="G18" s="158">
        <f t="shared" si="22"/>
        <v>576</v>
      </c>
      <c r="H18" s="67"/>
      <c r="I18" s="56">
        <f t="shared" si="23"/>
        <v>0</v>
      </c>
      <c r="J18" s="132"/>
      <c r="K18" s="132">
        <v>2.58</v>
      </c>
      <c r="L18" s="56">
        <f t="shared" si="24"/>
        <v>0</v>
      </c>
      <c r="M18" s="75">
        <v>2.4199999999999999E-2</v>
      </c>
      <c r="N18" s="56">
        <f t="shared" si="25"/>
        <v>15.4154</v>
      </c>
      <c r="O18" s="75"/>
      <c r="P18" s="56">
        <f t="shared" si="26"/>
        <v>0</v>
      </c>
      <c r="Q18" s="75"/>
      <c r="R18" s="56">
        <f t="shared" si="27"/>
        <v>0</v>
      </c>
      <c r="S18" s="75">
        <v>1E-3</v>
      </c>
      <c r="T18" s="56">
        <f t="shared" si="28"/>
        <v>0.63700000000000001</v>
      </c>
      <c r="U18" s="75"/>
      <c r="V18" s="56">
        <f t="shared" si="29"/>
        <v>0</v>
      </c>
      <c r="W18" s="75">
        <v>7.0000000000000001E-3</v>
      </c>
      <c r="X18" s="56">
        <f t="shared" si="30"/>
        <v>4.4590000000000005</v>
      </c>
      <c r="Y18" s="75">
        <v>4.7800000000000002E-2</v>
      </c>
      <c r="Z18" s="56">
        <f t="shared" si="31"/>
        <v>30.448600000000003</v>
      </c>
      <c r="AA18" s="75">
        <v>4.1000000000000002E-2</v>
      </c>
      <c r="AB18" s="56">
        <f t="shared" si="32"/>
        <v>26.117000000000001</v>
      </c>
      <c r="AC18" s="75">
        <v>1E-3</v>
      </c>
      <c r="AD18" s="56">
        <f t="shared" si="33"/>
        <v>0.63700000000000001</v>
      </c>
      <c r="AE18" s="56"/>
      <c r="AF18" s="56"/>
      <c r="AG18" s="67"/>
      <c r="AH18" s="75"/>
      <c r="AI18" s="56">
        <f t="shared" si="34"/>
        <v>0</v>
      </c>
      <c r="AJ18" s="67">
        <v>4</v>
      </c>
      <c r="AK18" s="75">
        <v>10.5</v>
      </c>
      <c r="AL18" s="56">
        <f t="shared" si="35"/>
        <v>42</v>
      </c>
      <c r="AM18" s="61"/>
      <c r="AN18" s="61"/>
      <c r="AO18" s="56">
        <f t="shared" si="36"/>
        <v>0</v>
      </c>
      <c r="AP18" s="58">
        <f t="shared" si="37"/>
        <v>540.77099999999996</v>
      </c>
      <c r="AQ18" s="143">
        <f t="shared" si="38"/>
        <v>0.84893406593406584</v>
      </c>
      <c r="AR18" s="144">
        <f t="shared" si="39"/>
        <v>1.39835</v>
      </c>
      <c r="AS18" s="130"/>
      <c r="AU18" s="162"/>
      <c r="AV18" s="162"/>
      <c r="AW18" s="162"/>
      <c r="AX18" s="162"/>
      <c r="AY18" s="163"/>
      <c r="AZ18" s="162"/>
    </row>
    <row r="19" spans="1:52" s="131" customFormat="1" ht="19.5" customHeight="1" x14ac:dyDescent="0.25">
      <c r="A19" s="30" t="s">
        <v>5</v>
      </c>
      <c r="B19" s="64" t="s">
        <v>177</v>
      </c>
      <c r="C19" s="133">
        <v>588</v>
      </c>
      <c r="D19" s="75">
        <v>0.66100000000000003</v>
      </c>
      <c r="E19" s="56">
        <f t="shared" si="3"/>
        <v>388.66800000000001</v>
      </c>
      <c r="F19" s="158">
        <f t="shared" si="4"/>
        <v>29</v>
      </c>
      <c r="G19" s="158">
        <f t="shared" si="5"/>
        <v>522</v>
      </c>
      <c r="H19" s="67"/>
      <c r="I19" s="56">
        <f t="shared" si="6"/>
        <v>0</v>
      </c>
      <c r="J19" s="132"/>
      <c r="K19" s="132">
        <v>2.58</v>
      </c>
      <c r="L19" s="56">
        <f t="shared" si="7"/>
        <v>0</v>
      </c>
      <c r="M19" s="75">
        <v>2.4199999999999999E-2</v>
      </c>
      <c r="N19" s="56">
        <f t="shared" si="8"/>
        <v>14.2296</v>
      </c>
      <c r="O19" s="75"/>
      <c r="P19" s="56">
        <f t="shared" si="9"/>
        <v>0</v>
      </c>
      <c r="Q19" s="75"/>
      <c r="R19" s="56">
        <f t="shared" si="10"/>
        <v>0</v>
      </c>
      <c r="S19" s="75">
        <v>1E-3</v>
      </c>
      <c r="T19" s="56">
        <f t="shared" si="11"/>
        <v>0.58799999999999997</v>
      </c>
      <c r="U19" s="75"/>
      <c r="V19" s="56">
        <f t="shared" si="12"/>
        <v>0</v>
      </c>
      <c r="W19" s="75">
        <v>7.0000000000000001E-3</v>
      </c>
      <c r="X19" s="56">
        <f t="shared" si="13"/>
        <v>4.1159999999999997</v>
      </c>
      <c r="Y19" s="75">
        <v>4.7800000000000002E-2</v>
      </c>
      <c r="Z19" s="56">
        <f t="shared" si="14"/>
        <v>28.106400000000001</v>
      </c>
      <c r="AA19" s="75">
        <v>4.1000000000000002E-2</v>
      </c>
      <c r="AB19" s="56">
        <f t="shared" si="15"/>
        <v>24.108000000000001</v>
      </c>
      <c r="AC19" s="75">
        <v>1E-3</v>
      </c>
      <c r="AD19" s="56">
        <f t="shared" si="0"/>
        <v>0.58799999999999997</v>
      </c>
      <c r="AE19" s="56"/>
      <c r="AF19" s="56"/>
      <c r="AG19" s="67"/>
      <c r="AH19" s="75"/>
      <c r="AI19" s="56">
        <f t="shared" si="16"/>
        <v>0</v>
      </c>
      <c r="AJ19" s="67">
        <v>0</v>
      </c>
      <c r="AK19" s="75">
        <v>10.5</v>
      </c>
      <c r="AL19" s="56">
        <f t="shared" si="17"/>
        <v>0</v>
      </c>
      <c r="AM19" s="61"/>
      <c r="AN19" s="61"/>
      <c r="AO19" s="56">
        <f t="shared" si="18"/>
        <v>0</v>
      </c>
      <c r="AP19" s="58">
        <f t="shared" si="19"/>
        <v>460.40400000000005</v>
      </c>
      <c r="AQ19" s="143">
        <f t="shared" si="1"/>
        <v>0.78300000000000014</v>
      </c>
      <c r="AR19" s="144">
        <f>ROUND((AP19/C19)/($AP$22/$C$22),5)</f>
        <v>1.2897400000000001</v>
      </c>
      <c r="AS19" s="130"/>
      <c r="AU19" s="162"/>
      <c r="AV19" s="162"/>
      <c r="AW19" s="162"/>
      <c r="AX19" s="162"/>
      <c r="AY19" s="163"/>
      <c r="AZ19" s="162"/>
    </row>
    <row r="20" spans="1:52" s="131" customFormat="1" ht="19.5" customHeight="1" x14ac:dyDescent="0.25">
      <c r="A20" s="30" t="s">
        <v>180</v>
      </c>
      <c r="B20" s="64" t="s">
        <v>178</v>
      </c>
      <c r="C20" s="133">
        <v>591</v>
      </c>
      <c r="D20" s="75">
        <v>0.66100000000000003</v>
      </c>
      <c r="E20" s="56">
        <f t="shared" si="3"/>
        <v>390.65100000000001</v>
      </c>
      <c r="F20" s="158">
        <f t="shared" si="4"/>
        <v>30</v>
      </c>
      <c r="G20" s="158">
        <f t="shared" si="5"/>
        <v>540</v>
      </c>
      <c r="H20" s="67"/>
      <c r="I20" s="56">
        <f t="shared" si="6"/>
        <v>0</v>
      </c>
      <c r="J20" s="132"/>
      <c r="K20" s="132">
        <v>2.58</v>
      </c>
      <c r="L20" s="56">
        <f t="shared" si="7"/>
        <v>0</v>
      </c>
      <c r="M20" s="75">
        <v>2.4199999999999999E-2</v>
      </c>
      <c r="N20" s="56">
        <f t="shared" si="8"/>
        <v>14.302199999999999</v>
      </c>
      <c r="O20" s="75"/>
      <c r="P20" s="56">
        <f t="shared" si="9"/>
        <v>0</v>
      </c>
      <c r="Q20" s="75"/>
      <c r="R20" s="56">
        <f t="shared" si="10"/>
        <v>0</v>
      </c>
      <c r="S20" s="75">
        <v>1E-3</v>
      </c>
      <c r="T20" s="56">
        <f t="shared" si="11"/>
        <v>0.59099999999999997</v>
      </c>
      <c r="U20" s="75"/>
      <c r="V20" s="56">
        <f t="shared" si="12"/>
        <v>0</v>
      </c>
      <c r="W20" s="75">
        <v>7.0000000000000001E-3</v>
      </c>
      <c r="X20" s="56">
        <f t="shared" si="13"/>
        <v>4.1370000000000005</v>
      </c>
      <c r="Y20" s="75">
        <v>4.7800000000000002E-2</v>
      </c>
      <c r="Z20" s="56">
        <f t="shared" si="14"/>
        <v>28.2498</v>
      </c>
      <c r="AA20" s="75">
        <v>4.1000000000000002E-2</v>
      </c>
      <c r="AB20" s="56">
        <f t="shared" si="15"/>
        <v>24.231000000000002</v>
      </c>
      <c r="AC20" s="75">
        <v>1E-3</v>
      </c>
      <c r="AD20" s="56">
        <f t="shared" si="0"/>
        <v>0.59099999999999997</v>
      </c>
      <c r="AE20" s="56"/>
      <c r="AF20" s="56"/>
      <c r="AG20" s="67"/>
      <c r="AH20" s="75"/>
      <c r="AI20" s="56">
        <f t="shared" si="16"/>
        <v>0</v>
      </c>
      <c r="AJ20" s="67">
        <v>3</v>
      </c>
      <c r="AK20" s="75">
        <v>10.5</v>
      </c>
      <c r="AL20" s="56">
        <f t="shared" si="17"/>
        <v>31.5</v>
      </c>
      <c r="AM20" s="61"/>
      <c r="AN20" s="61"/>
      <c r="AO20" s="56">
        <f t="shared" si="18"/>
        <v>0</v>
      </c>
      <c r="AP20" s="58">
        <f t="shared" si="19"/>
        <v>494.25300000000004</v>
      </c>
      <c r="AQ20" s="143">
        <f t="shared" si="1"/>
        <v>0.83629949238578682</v>
      </c>
      <c r="AR20" s="144">
        <f>ROUND((AP20/C20)/($AP$22/$C$22),5)</f>
        <v>1.3775299999999999</v>
      </c>
      <c r="AS20" s="130"/>
      <c r="AU20" s="162"/>
      <c r="AV20" s="162"/>
      <c r="AW20" s="162"/>
      <c r="AX20" s="162"/>
      <c r="AY20" s="163"/>
      <c r="AZ20" s="162"/>
    </row>
    <row r="21" spans="1:52" s="131" customFormat="1" ht="19.5" customHeight="1" x14ac:dyDescent="0.25">
      <c r="A21" s="30" t="s">
        <v>181</v>
      </c>
      <c r="B21" s="64" t="s">
        <v>179</v>
      </c>
      <c r="C21" s="133">
        <v>686</v>
      </c>
      <c r="D21" s="75">
        <v>0.66100000000000003</v>
      </c>
      <c r="E21" s="56">
        <f t="shared" si="3"/>
        <v>453.44600000000003</v>
      </c>
      <c r="F21" s="158">
        <f t="shared" si="4"/>
        <v>34</v>
      </c>
      <c r="G21" s="158">
        <f t="shared" si="5"/>
        <v>612</v>
      </c>
      <c r="H21" s="67"/>
      <c r="I21" s="56">
        <f t="shared" si="6"/>
        <v>0</v>
      </c>
      <c r="J21" s="132"/>
      <c r="K21" s="132">
        <v>2.58</v>
      </c>
      <c r="L21" s="56">
        <f t="shared" si="7"/>
        <v>0</v>
      </c>
      <c r="M21" s="75">
        <v>2.4199999999999999E-2</v>
      </c>
      <c r="N21" s="56">
        <f t="shared" si="8"/>
        <v>16.601199999999999</v>
      </c>
      <c r="O21" s="75"/>
      <c r="P21" s="56">
        <f t="shared" si="9"/>
        <v>0</v>
      </c>
      <c r="Q21" s="75"/>
      <c r="R21" s="56">
        <f t="shared" si="10"/>
        <v>0</v>
      </c>
      <c r="S21" s="75">
        <v>1E-3</v>
      </c>
      <c r="T21" s="56">
        <f t="shared" si="11"/>
        <v>0.68600000000000005</v>
      </c>
      <c r="U21" s="75"/>
      <c r="V21" s="56">
        <f t="shared" si="12"/>
        <v>0</v>
      </c>
      <c r="W21" s="75">
        <v>7.0000000000000001E-3</v>
      </c>
      <c r="X21" s="56">
        <f t="shared" si="13"/>
        <v>4.8020000000000005</v>
      </c>
      <c r="Y21" s="75">
        <v>4.7800000000000002E-2</v>
      </c>
      <c r="Z21" s="56">
        <f t="shared" si="14"/>
        <v>32.790800000000004</v>
      </c>
      <c r="AA21" s="75">
        <v>4.1000000000000002E-2</v>
      </c>
      <c r="AB21" s="56">
        <f t="shared" si="15"/>
        <v>28.126000000000001</v>
      </c>
      <c r="AC21" s="75">
        <v>1E-3</v>
      </c>
      <c r="AD21" s="56">
        <f t="shared" si="0"/>
        <v>0.68600000000000005</v>
      </c>
      <c r="AE21" s="56"/>
      <c r="AF21" s="56"/>
      <c r="AG21" s="67"/>
      <c r="AH21" s="75"/>
      <c r="AI21" s="56">
        <f t="shared" si="16"/>
        <v>0</v>
      </c>
      <c r="AJ21" s="67">
        <v>0</v>
      </c>
      <c r="AK21" s="75">
        <v>10.5</v>
      </c>
      <c r="AL21" s="56">
        <f t="shared" si="17"/>
        <v>0</v>
      </c>
      <c r="AM21" s="61"/>
      <c r="AN21" s="61"/>
      <c r="AO21" s="56">
        <f t="shared" si="18"/>
        <v>0</v>
      </c>
      <c r="AP21" s="58">
        <f t="shared" si="19"/>
        <v>537.13800000000003</v>
      </c>
      <c r="AQ21" s="143">
        <f t="shared" si="1"/>
        <v>0.78300000000000003</v>
      </c>
      <c r="AR21" s="144">
        <f>ROUND((AP21/C21)/($AP$22/$C$22),5)</f>
        <v>1.2897400000000001</v>
      </c>
      <c r="AS21" s="130"/>
      <c r="AU21" s="162"/>
      <c r="AV21" s="162"/>
      <c r="AW21" s="162"/>
      <c r="AX21" s="162"/>
      <c r="AY21" s="163"/>
      <c r="AZ21" s="162"/>
    </row>
    <row r="22" spans="1:52" ht="19.5" customHeight="1" x14ac:dyDescent="0.25">
      <c r="A22" s="180" t="s">
        <v>0</v>
      </c>
      <c r="B22" s="180"/>
      <c r="C22" s="156">
        <f>SUM(C9:C21)</f>
        <v>17716</v>
      </c>
      <c r="D22" s="146" t="s">
        <v>82</v>
      </c>
      <c r="E22" s="151">
        <f>SUM(E9:E21)</f>
        <v>6386.692</v>
      </c>
      <c r="F22" s="159">
        <f>SUM(F9:F21)</f>
        <v>885</v>
      </c>
      <c r="G22" s="159">
        <f>SUM(G9:G21)</f>
        <v>15930</v>
      </c>
      <c r="H22" s="146" t="s">
        <v>82</v>
      </c>
      <c r="I22" s="151">
        <f>SUM(I9:I21)</f>
        <v>0</v>
      </c>
      <c r="J22" s="147">
        <f>SUM(J9:J21)</f>
        <v>0</v>
      </c>
      <c r="K22" s="148" t="s">
        <v>7</v>
      </c>
      <c r="L22" s="151">
        <f>SUM(L9:L21)</f>
        <v>0</v>
      </c>
      <c r="M22" s="148" t="s">
        <v>7</v>
      </c>
      <c r="N22" s="151">
        <f t="shared" ref="N22:P22" si="40">SUM(N9:N21)</f>
        <v>353.82919999999996</v>
      </c>
      <c r="O22" s="148" t="s">
        <v>7</v>
      </c>
      <c r="P22" s="151">
        <f t="shared" si="40"/>
        <v>367.39440000000002</v>
      </c>
      <c r="Q22" s="148" t="s">
        <v>7</v>
      </c>
      <c r="R22" s="151">
        <f t="shared" ref="R22" si="41">SUM(R9:R21)</f>
        <v>0</v>
      </c>
      <c r="S22" s="148" t="s">
        <v>7</v>
      </c>
      <c r="T22" s="151">
        <f t="shared" ref="T22" si="42">SUM(T9:T21)</f>
        <v>17.716000000000005</v>
      </c>
      <c r="U22" s="148" t="s">
        <v>7</v>
      </c>
      <c r="V22" s="151">
        <f t="shared" ref="V22" si="43">SUM(V9:V21)</f>
        <v>0</v>
      </c>
      <c r="W22" s="148" t="s">
        <v>7</v>
      </c>
      <c r="X22" s="151">
        <f t="shared" ref="X22" si="44">SUM(X9:X21)</f>
        <v>131.89599999999999</v>
      </c>
      <c r="Y22" s="148" t="s">
        <v>7</v>
      </c>
      <c r="Z22" s="151">
        <f t="shared" ref="Z22" si="45">SUM(Z9:Z21)</f>
        <v>1222.1031999999998</v>
      </c>
      <c r="AA22" s="148" t="s">
        <v>7</v>
      </c>
      <c r="AB22" s="151">
        <f t="shared" ref="AB22" si="46">SUM(AB9:AB21)</f>
        <v>1932.6080000000002</v>
      </c>
      <c r="AC22" s="148" t="s">
        <v>7</v>
      </c>
      <c r="AD22" s="151">
        <f t="shared" ref="AD22" si="47">SUM(AD9:AD21)</f>
        <v>17.716000000000005</v>
      </c>
      <c r="AE22" s="151">
        <f t="shared" ref="AE22" si="48">SUM(AE9:AE21)</f>
        <v>0</v>
      </c>
      <c r="AF22" s="151">
        <f t="shared" ref="AF22" si="49">SUM(AF9:AF21)</f>
        <v>0</v>
      </c>
      <c r="AG22" s="145">
        <f>SUM(AG9:AG21)</f>
        <v>0</v>
      </c>
      <c r="AH22" s="148" t="s">
        <v>7</v>
      </c>
      <c r="AI22" s="151">
        <f t="shared" ref="AI22" si="50">SUM(AI9:AI21)</f>
        <v>0</v>
      </c>
      <c r="AJ22" s="145">
        <f>SUM(AJ9:AJ21)</f>
        <v>23</v>
      </c>
      <c r="AK22" s="148" t="s">
        <v>7</v>
      </c>
      <c r="AL22" s="151">
        <f t="shared" ref="AL22" si="51">SUM(AL9:AL21)</f>
        <v>241.5</v>
      </c>
      <c r="AM22" s="148" t="s">
        <v>7</v>
      </c>
      <c r="AN22" s="146" t="s">
        <v>82</v>
      </c>
      <c r="AO22" s="151">
        <f>SUM(AO9:AO21)</f>
        <v>83.913719999999998</v>
      </c>
      <c r="AP22" s="151">
        <f>SUM(AP9:AP21)</f>
        <v>10755.368520000002</v>
      </c>
      <c r="AQ22" s="149">
        <f>SUM(AQ9:AQ21)</f>
        <v>10.00399147173083</v>
      </c>
      <c r="AR22" s="150">
        <f>(AP22/C22)/($AP$22/$C$22)</f>
        <v>1</v>
      </c>
      <c r="AU22" s="161"/>
      <c r="AV22" s="161"/>
      <c r="AW22" s="161"/>
      <c r="AX22" s="161"/>
      <c r="AY22" s="163"/>
      <c r="AZ22" s="161"/>
    </row>
    <row r="23" spans="1:52" x14ac:dyDescent="0.2">
      <c r="C23" s="5"/>
      <c r="AA23" s="5"/>
      <c r="AD23" s="5"/>
      <c r="AE23" s="5"/>
      <c r="AF23" s="5"/>
      <c r="AI23" s="5"/>
      <c r="AL23" s="5"/>
      <c r="AS23" s="4"/>
    </row>
    <row r="24" spans="1:52" x14ac:dyDescent="0.2">
      <c r="C24" s="9"/>
      <c r="AA24" s="5"/>
      <c r="AD24" s="5"/>
      <c r="AE24" s="5"/>
      <c r="AF24" s="5"/>
      <c r="AI24" s="5"/>
      <c r="AL24" s="5"/>
      <c r="AP24" s="4"/>
    </row>
    <row r="25" spans="1:52" x14ac:dyDescent="0.2">
      <c r="D25" s="5" t="s">
        <v>84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 t="s">
        <v>84</v>
      </c>
      <c r="Y25" s="5"/>
      <c r="AM25" s="5" t="s">
        <v>83</v>
      </c>
    </row>
    <row r="26" spans="1:52" ht="15.75" x14ac:dyDescent="0.25">
      <c r="AD26" s="73"/>
      <c r="AE26" s="73"/>
      <c r="AF26" s="73"/>
      <c r="AI26" s="73"/>
      <c r="AL26" s="73"/>
      <c r="AM26" s="5" t="s">
        <v>83</v>
      </c>
    </row>
    <row r="27" spans="1:52" ht="12.75" customHeight="1" x14ac:dyDescent="0.2">
      <c r="B27" s="5" t="s">
        <v>83</v>
      </c>
    </row>
    <row r="28" spans="1:52" ht="13.5" customHeight="1" x14ac:dyDescent="0.2"/>
    <row r="29" spans="1:52" ht="12.75" hidden="1" customHeight="1" x14ac:dyDescent="0.2">
      <c r="A29" s="189" t="s">
        <v>1</v>
      </c>
      <c r="B29" s="189" t="s">
        <v>2</v>
      </c>
      <c r="C29" s="184" t="s">
        <v>85</v>
      </c>
      <c r="D29" s="171" t="s">
        <v>53</v>
      </c>
      <c r="E29" s="125"/>
      <c r="F29" s="125"/>
      <c r="G29" s="123"/>
      <c r="H29" s="123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1" t="s">
        <v>53</v>
      </c>
      <c r="U29" s="122"/>
      <c r="V29" s="184" t="s">
        <v>54</v>
      </c>
      <c r="W29" s="171" t="s">
        <v>55</v>
      </c>
      <c r="X29" s="184" t="s">
        <v>56</v>
      </c>
      <c r="Y29" s="171" t="s">
        <v>57</v>
      </c>
      <c r="Z29" s="184" t="s">
        <v>58</v>
      </c>
      <c r="AA29" s="202"/>
      <c r="AB29" s="202"/>
      <c r="AC29" s="199" t="s">
        <v>59</v>
      </c>
      <c r="AD29" s="171" t="s">
        <v>60</v>
      </c>
      <c r="AE29" s="171" t="s">
        <v>60</v>
      </c>
      <c r="AF29" s="171" t="s">
        <v>60</v>
      </c>
      <c r="AG29" s="171" t="s">
        <v>59</v>
      </c>
      <c r="AH29" s="122"/>
      <c r="AI29" s="171" t="s">
        <v>60</v>
      </c>
      <c r="AJ29" s="171" t="s">
        <v>59</v>
      </c>
      <c r="AK29" s="122"/>
      <c r="AL29" s="171" t="s">
        <v>60</v>
      </c>
      <c r="AM29" s="171" t="s">
        <v>86</v>
      </c>
      <c r="AN29" s="184" t="s">
        <v>87</v>
      </c>
      <c r="AO29" s="171" t="s">
        <v>61</v>
      </c>
    </row>
    <row r="30" spans="1:52" ht="12.75" hidden="1" customHeight="1" x14ac:dyDescent="0.2">
      <c r="A30" s="190"/>
      <c r="B30" s="192"/>
      <c r="C30" s="184"/>
      <c r="D30" s="171"/>
      <c r="E30" s="126"/>
      <c r="F30" s="126"/>
      <c r="G30" s="124"/>
      <c r="H30" s="124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71"/>
      <c r="U30" s="122"/>
      <c r="V30" s="184"/>
      <c r="W30" s="171"/>
      <c r="X30" s="184"/>
      <c r="Y30" s="171"/>
      <c r="Z30" s="184"/>
      <c r="AA30" s="203"/>
      <c r="AB30" s="203"/>
      <c r="AC30" s="200"/>
      <c r="AD30" s="171"/>
      <c r="AE30" s="171"/>
      <c r="AF30" s="171"/>
      <c r="AG30" s="171"/>
      <c r="AH30" s="122"/>
      <c r="AI30" s="171"/>
      <c r="AJ30" s="171"/>
      <c r="AK30" s="122"/>
      <c r="AL30" s="171"/>
      <c r="AM30" s="171"/>
      <c r="AN30" s="184"/>
      <c r="AO30" s="171"/>
    </row>
    <row r="31" spans="1:52" ht="34.5" hidden="1" customHeight="1" x14ac:dyDescent="0.2">
      <c r="A31" s="191"/>
      <c r="B31" s="191"/>
      <c r="C31" s="184"/>
      <c r="D31" s="171"/>
      <c r="E31" s="126"/>
      <c r="F31" s="126"/>
      <c r="G31" s="124"/>
      <c r="H31" s="124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71"/>
      <c r="U31" s="122"/>
      <c r="V31" s="184"/>
      <c r="W31" s="171"/>
      <c r="X31" s="184"/>
      <c r="Y31" s="171"/>
      <c r="Z31" s="184"/>
      <c r="AA31" s="204"/>
      <c r="AB31" s="204"/>
      <c r="AC31" s="201"/>
      <c r="AD31" s="171"/>
      <c r="AE31" s="171"/>
      <c r="AF31" s="171"/>
      <c r="AG31" s="171"/>
      <c r="AH31" s="122"/>
      <c r="AI31" s="171"/>
      <c r="AJ31" s="171"/>
      <c r="AK31" s="122"/>
      <c r="AL31" s="171"/>
      <c r="AM31" s="171"/>
      <c r="AN31" s="184"/>
      <c r="AO31" s="171"/>
    </row>
    <row r="32" spans="1:52" ht="14.25" hidden="1" customHeight="1" thickBot="1" x14ac:dyDescent="0.25">
      <c r="A32" s="193" t="s">
        <v>66</v>
      </c>
      <c r="B32" s="194"/>
      <c r="C32" s="45">
        <v>1</v>
      </c>
      <c r="D32" s="46">
        <v>2</v>
      </c>
      <c r="E32" s="128"/>
      <c r="F32" s="128"/>
      <c r="G32" s="128"/>
      <c r="H32" s="128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>
        <v>2</v>
      </c>
      <c r="U32" s="46"/>
      <c r="V32" s="45" t="s">
        <v>67</v>
      </c>
      <c r="W32" s="46">
        <v>4</v>
      </c>
      <c r="X32" s="45" t="s">
        <v>68</v>
      </c>
      <c r="Y32" s="46">
        <v>6</v>
      </c>
      <c r="Z32" s="45" t="s">
        <v>69</v>
      </c>
      <c r="AA32" s="45"/>
      <c r="AB32" s="45"/>
      <c r="AC32" s="46">
        <v>8</v>
      </c>
      <c r="AD32" s="45">
        <v>9</v>
      </c>
      <c r="AE32" s="45">
        <v>9</v>
      </c>
      <c r="AF32" s="45">
        <v>9</v>
      </c>
      <c r="AG32" s="46">
        <v>8</v>
      </c>
      <c r="AH32" s="46"/>
      <c r="AI32" s="45">
        <v>9</v>
      </c>
      <c r="AJ32" s="46">
        <v>8</v>
      </c>
      <c r="AK32" s="46"/>
      <c r="AL32" s="45">
        <v>9</v>
      </c>
      <c r="AM32" s="46">
        <v>11</v>
      </c>
      <c r="AN32" s="46" t="s">
        <v>70</v>
      </c>
      <c r="AO32" s="46">
        <v>13</v>
      </c>
    </row>
    <row r="33" spans="1:41" ht="17.25" hidden="1" customHeight="1" x14ac:dyDescent="0.2">
      <c r="A33" s="195"/>
      <c r="B33" s="196"/>
      <c r="C33" s="47" t="s">
        <v>71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9"/>
      <c r="W33" s="50"/>
      <c r="X33" s="51"/>
      <c r="Y33" s="50"/>
      <c r="Z33" s="52"/>
      <c r="AA33" s="52"/>
      <c r="AB33" s="52"/>
      <c r="AC33" s="51"/>
      <c r="AD33" s="53">
        <v>4.3E-3</v>
      </c>
      <c r="AE33" s="53">
        <v>4.3E-3</v>
      </c>
      <c r="AF33" s="53">
        <v>4.3E-3</v>
      </c>
      <c r="AG33" s="51"/>
      <c r="AH33" s="51"/>
      <c r="AI33" s="53">
        <v>4.3E-3</v>
      </c>
      <c r="AJ33" s="51"/>
      <c r="AK33" s="51"/>
      <c r="AL33" s="53">
        <v>4.3E-3</v>
      </c>
      <c r="AM33" s="50"/>
      <c r="AN33" s="51"/>
      <c r="AO33" s="50"/>
    </row>
    <row r="34" spans="1:41" ht="15.75" hidden="1" customHeight="1" x14ac:dyDescent="0.25">
      <c r="A34" s="54">
        <v>1</v>
      </c>
      <c r="B34" s="55" t="s">
        <v>72</v>
      </c>
      <c r="C34" s="68">
        <v>33351</v>
      </c>
      <c r="D34" s="74">
        <v>0.496</v>
      </c>
      <c r="E34" s="129"/>
      <c r="F34" s="129"/>
      <c r="G34" s="129"/>
      <c r="H34" s="129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ref="V34:V52" si="52">C34*D34</f>
        <v>16542.096000000001</v>
      </c>
      <c r="W34" s="75">
        <v>0.06</v>
      </c>
      <c r="X34" s="60">
        <f t="shared" ref="X34:X52" si="53">W34*C34</f>
        <v>2001.06</v>
      </c>
      <c r="Y34" s="57">
        <v>0.40899999999999997</v>
      </c>
      <c r="Z34" s="65">
        <f t="shared" ref="Z34:Z52" si="54">Y34*C34</f>
        <v>13640.558999999999</v>
      </c>
      <c r="AA34" s="59"/>
      <c r="AB34" s="60"/>
      <c r="AC34" s="61">
        <v>88.1</v>
      </c>
      <c r="AD34" s="62">
        <v>3.3E-3</v>
      </c>
      <c r="AE34" s="62">
        <v>3.3E-3</v>
      </c>
      <c r="AF34" s="62">
        <v>3.3E-3</v>
      </c>
      <c r="AG34" s="61">
        <v>88.1</v>
      </c>
      <c r="AH34" s="61"/>
      <c r="AI34" s="62">
        <v>3.3E-3</v>
      </c>
      <c r="AJ34" s="61">
        <v>88.1</v>
      </c>
      <c r="AK34" s="61"/>
      <c r="AL34" s="62">
        <v>3.3E-3</v>
      </c>
      <c r="AM34" s="62"/>
      <c r="AN34" s="76">
        <v>127</v>
      </c>
      <c r="AO34" s="77">
        <v>3.7000000000000002E-3</v>
      </c>
    </row>
    <row r="35" spans="1:41" ht="15.75" hidden="1" customHeight="1" x14ac:dyDescent="0.25">
      <c r="A35" s="63">
        <v>2</v>
      </c>
      <c r="B35" s="64" t="s">
        <v>73</v>
      </c>
      <c r="C35" s="68">
        <v>5340</v>
      </c>
      <c r="D35" s="74">
        <v>0.496</v>
      </c>
      <c r="E35" s="129"/>
      <c r="F35" s="129"/>
      <c r="G35" s="129"/>
      <c r="H35" s="129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52"/>
        <v>2648.64</v>
      </c>
      <c r="W35" s="75">
        <v>0.15</v>
      </c>
      <c r="X35" s="60">
        <f t="shared" si="53"/>
        <v>801</v>
      </c>
      <c r="Y35" s="57">
        <v>0.40899999999999997</v>
      </c>
      <c r="Z35" s="66">
        <f t="shared" si="54"/>
        <v>2184.06</v>
      </c>
      <c r="AA35" s="59"/>
      <c r="AB35" s="60"/>
      <c r="AC35" s="61">
        <v>15.2</v>
      </c>
      <c r="AD35" s="62">
        <v>3.3E-3</v>
      </c>
      <c r="AE35" s="62">
        <v>3.3E-3</v>
      </c>
      <c r="AF35" s="62">
        <v>3.3E-3</v>
      </c>
      <c r="AG35" s="61">
        <v>15.2</v>
      </c>
      <c r="AH35" s="61"/>
      <c r="AI35" s="62">
        <v>3.3E-3</v>
      </c>
      <c r="AJ35" s="61">
        <v>15.2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3</v>
      </c>
      <c r="B36" s="64" t="s">
        <v>74</v>
      </c>
      <c r="C36" s="68">
        <v>5077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52"/>
        <v>2518.192</v>
      </c>
      <c r="W36" s="75">
        <v>0.15</v>
      </c>
      <c r="X36" s="60">
        <f t="shared" si="53"/>
        <v>761.55</v>
      </c>
      <c r="Y36" s="57">
        <v>0.40899999999999997</v>
      </c>
      <c r="Z36" s="66">
        <f t="shared" si="54"/>
        <v>2076.4929999999999</v>
      </c>
      <c r="AA36" s="59"/>
      <c r="AB36" s="60"/>
      <c r="AC36" s="61">
        <v>10.199999999999999</v>
      </c>
      <c r="AD36" s="62">
        <v>3.3E-3</v>
      </c>
      <c r="AE36" s="62">
        <v>3.3E-3</v>
      </c>
      <c r="AF36" s="62">
        <v>3.3E-3</v>
      </c>
      <c r="AG36" s="61">
        <v>10.199999999999999</v>
      </c>
      <c r="AH36" s="61"/>
      <c r="AI36" s="62">
        <v>3.3E-3</v>
      </c>
      <c r="AJ36" s="61">
        <v>10.199999999999999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4</v>
      </c>
      <c r="B37" s="64" t="s">
        <v>75</v>
      </c>
      <c r="C37" s="68">
        <v>6359</v>
      </c>
      <c r="D37" s="74">
        <v>0.496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>
        <v>0.496</v>
      </c>
      <c r="U37" s="74"/>
      <c r="V37" s="70">
        <f t="shared" si="52"/>
        <v>3154.0639999999999</v>
      </c>
      <c r="W37" s="75">
        <v>0.15</v>
      </c>
      <c r="X37" s="60">
        <f t="shared" si="53"/>
        <v>953.84999999999991</v>
      </c>
      <c r="Y37" s="57">
        <v>0.40899999999999997</v>
      </c>
      <c r="Z37" s="66">
        <f t="shared" si="54"/>
        <v>2600.8309999999997</v>
      </c>
      <c r="AA37" s="59"/>
      <c r="AB37" s="60"/>
      <c r="AC37" s="61">
        <v>6.8</v>
      </c>
      <c r="AD37" s="62">
        <v>3.3E-3</v>
      </c>
      <c r="AE37" s="62">
        <v>3.3E-3</v>
      </c>
      <c r="AF37" s="62">
        <v>3.3E-3</v>
      </c>
      <c r="AG37" s="61">
        <v>6.8</v>
      </c>
      <c r="AH37" s="61"/>
      <c r="AI37" s="62">
        <v>3.3E-3</v>
      </c>
      <c r="AJ37" s="61">
        <v>6.8</v>
      </c>
      <c r="AK37" s="61"/>
      <c r="AL37" s="62">
        <v>3.3E-3</v>
      </c>
      <c r="AM37" s="62"/>
      <c r="AN37" s="78">
        <v>127</v>
      </c>
      <c r="AO37" s="77">
        <v>3.7000000000000002E-3</v>
      </c>
    </row>
    <row r="38" spans="1:41" ht="15.75" hidden="1" customHeight="1" x14ac:dyDescent="0.25">
      <c r="A38" s="63">
        <v>5</v>
      </c>
      <c r="B38" s="64" t="s">
        <v>76</v>
      </c>
      <c r="C38" s="68">
        <v>4707</v>
      </c>
      <c r="D38" s="74">
        <v>0.496</v>
      </c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>
        <v>0.496</v>
      </c>
      <c r="U38" s="74"/>
      <c r="V38" s="70">
        <f t="shared" si="52"/>
        <v>2334.672</v>
      </c>
      <c r="W38" s="75">
        <v>0.2</v>
      </c>
      <c r="X38" s="60">
        <f t="shared" si="53"/>
        <v>941.40000000000009</v>
      </c>
      <c r="Y38" s="57">
        <v>0.40899999999999997</v>
      </c>
      <c r="Z38" s="66">
        <f t="shared" si="54"/>
        <v>1925.1629999999998</v>
      </c>
      <c r="AA38" s="59"/>
      <c r="AB38" s="60"/>
      <c r="AC38" s="61">
        <v>6.4</v>
      </c>
      <c r="AD38" s="62">
        <v>3.3E-3</v>
      </c>
      <c r="AE38" s="62">
        <v>3.3E-3</v>
      </c>
      <c r="AF38" s="62">
        <v>3.3E-3</v>
      </c>
      <c r="AG38" s="61">
        <v>6.4</v>
      </c>
      <c r="AH38" s="61"/>
      <c r="AI38" s="62">
        <v>3.3E-3</v>
      </c>
      <c r="AJ38" s="61">
        <v>6.4</v>
      </c>
      <c r="AK38" s="61"/>
      <c r="AL38" s="62">
        <v>3.3E-3</v>
      </c>
      <c r="AM38" s="62"/>
      <c r="AN38" s="78">
        <v>127</v>
      </c>
      <c r="AO38" s="77">
        <v>3.7000000000000002E-3</v>
      </c>
    </row>
    <row r="39" spans="1:41" ht="15.75" hidden="1" customHeight="1" x14ac:dyDescent="0.25">
      <c r="A39" s="63">
        <v>6</v>
      </c>
      <c r="B39" s="64" t="s">
        <v>77</v>
      </c>
      <c r="C39" s="68">
        <v>1875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70">
        <f t="shared" si="52"/>
        <v>1121.8125</v>
      </c>
      <c r="W39" s="75">
        <v>0.3</v>
      </c>
      <c r="X39" s="60">
        <f t="shared" si="53"/>
        <v>562.5</v>
      </c>
      <c r="Y39" s="57">
        <v>0.23</v>
      </c>
      <c r="Z39" s="66">
        <f t="shared" si="54"/>
        <v>431.25</v>
      </c>
      <c r="AA39" s="66"/>
      <c r="AB39" s="60"/>
      <c r="AC39" s="61">
        <v>8.6999999999999993</v>
      </c>
      <c r="AD39" s="62">
        <v>3.3E-3</v>
      </c>
      <c r="AE39" s="62">
        <v>3.3E-3</v>
      </c>
      <c r="AF39" s="62">
        <v>3.3E-3</v>
      </c>
      <c r="AG39" s="61">
        <v>8.6999999999999993</v>
      </c>
      <c r="AH39" s="61"/>
      <c r="AI39" s="62">
        <v>3.3E-3</v>
      </c>
      <c r="AJ39" s="61">
        <v>8.6999999999999993</v>
      </c>
      <c r="AK39" s="61"/>
      <c r="AL39" s="62">
        <v>3.3E-3</v>
      </c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7</v>
      </c>
      <c r="B40" s="64" t="s">
        <v>78</v>
      </c>
      <c r="C40" s="68">
        <v>2513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70">
        <f t="shared" si="52"/>
        <v>1503.5279</v>
      </c>
      <c r="W40" s="75">
        <v>0.3</v>
      </c>
      <c r="X40" s="60">
        <f t="shared" si="53"/>
        <v>753.9</v>
      </c>
      <c r="Y40" s="57">
        <v>0.23</v>
      </c>
      <c r="Z40" s="66">
        <f t="shared" si="54"/>
        <v>577.99</v>
      </c>
      <c r="AA40" s="66"/>
      <c r="AB40" s="60"/>
      <c r="AC40" s="61">
        <v>7</v>
      </c>
      <c r="AD40" s="62">
        <v>3.3E-3</v>
      </c>
      <c r="AE40" s="62">
        <v>3.3E-3</v>
      </c>
      <c r="AF40" s="62">
        <v>3.3E-3</v>
      </c>
      <c r="AG40" s="61">
        <v>7</v>
      </c>
      <c r="AH40" s="61"/>
      <c r="AI40" s="62">
        <v>3.3E-3</v>
      </c>
      <c r="AJ40" s="61">
        <v>7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8</v>
      </c>
      <c r="B41" s="64" t="s">
        <v>79</v>
      </c>
      <c r="C41" s="68">
        <v>595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58">
        <f t="shared" si="52"/>
        <v>355.98850000000004</v>
      </c>
      <c r="W41" s="75">
        <v>0.5</v>
      </c>
      <c r="X41" s="60">
        <f t="shared" si="53"/>
        <v>297.5</v>
      </c>
      <c r="Y41" s="57">
        <v>0.23</v>
      </c>
      <c r="Z41" s="66">
        <f t="shared" si="54"/>
        <v>136.85</v>
      </c>
      <c r="AA41" s="66"/>
      <c r="AB41" s="60"/>
      <c r="AC41" s="61">
        <v>0.5</v>
      </c>
      <c r="AD41" s="62"/>
      <c r="AE41" s="62"/>
      <c r="AF41" s="62"/>
      <c r="AG41" s="61">
        <v>0.5</v>
      </c>
      <c r="AH41" s="61"/>
      <c r="AI41" s="62"/>
      <c r="AJ41" s="61">
        <v>0.5</v>
      </c>
      <c r="AK41" s="61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9</v>
      </c>
      <c r="B42" s="64" t="s">
        <v>80</v>
      </c>
      <c r="C42" s="68">
        <v>2240</v>
      </c>
      <c r="D42" s="79">
        <v>0.59830000000000005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>
        <v>0.59830000000000005</v>
      </c>
      <c r="U42" s="79"/>
      <c r="V42" s="58">
        <f t="shared" si="52"/>
        <v>1340.192</v>
      </c>
      <c r="W42" s="75">
        <v>0.3</v>
      </c>
      <c r="X42" s="60">
        <f t="shared" si="53"/>
        <v>672</v>
      </c>
      <c r="Y42" s="57">
        <v>0.23</v>
      </c>
      <c r="Z42" s="66">
        <f t="shared" si="54"/>
        <v>515.20000000000005</v>
      </c>
      <c r="AA42" s="66"/>
      <c r="AB42" s="60"/>
      <c r="AC42" s="61">
        <v>5.8</v>
      </c>
      <c r="AD42" s="62">
        <v>3.3E-3</v>
      </c>
      <c r="AE42" s="62">
        <v>3.3E-3</v>
      </c>
      <c r="AF42" s="62">
        <v>3.3E-3</v>
      </c>
      <c r="AG42" s="61">
        <v>5.8</v>
      </c>
      <c r="AH42" s="61"/>
      <c r="AI42" s="62">
        <v>3.3E-3</v>
      </c>
      <c r="AJ42" s="61">
        <v>5.8</v>
      </c>
      <c r="AK42" s="61"/>
      <c r="AL42" s="62">
        <v>3.3E-3</v>
      </c>
      <c r="AM42" s="62"/>
      <c r="AN42" s="78">
        <v>127</v>
      </c>
      <c r="AO42" s="77">
        <v>2.5999999999999999E-3</v>
      </c>
    </row>
    <row r="43" spans="1:41" ht="15.75" hidden="1" customHeight="1" x14ac:dyDescent="0.25">
      <c r="A43" s="63">
        <v>10</v>
      </c>
      <c r="B43" s="64" t="s">
        <v>81</v>
      </c>
      <c r="C43" s="68">
        <v>386</v>
      </c>
      <c r="D43" s="79">
        <v>0.59830000000000005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>
        <v>0.59830000000000005</v>
      </c>
      <c r="U43" s="79"/>
      <c r="V43" s="70">
        <f t="shared" si="52"/>
        <v>230.94380000000001</v>
      </c>
      <c r="W43" s="75">
        <v>0.5</v>
      </c>
      <c r="X43" s="60">
        <f t="shared" si="53"/>
        <v>193</v>
      </c>
      <c r="Y43" s="57">
        <v>0.23</v>
      </c>
      <c r="Z43" s="66">
        <f t="shared" si="54"/>
        <v>88.78</v>
      </c>
      <c r="AA43" s="66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78">
        <v>127</v>
      </c>
      <c r="AO43" s="77">
        <v>2.5999999999999999E-3</v>
      </c>
    </row>
    <row r="44" spans="1:41" ht="15.75" hidden="1" customHeight="1" x14ac:dyDescent="0.25">
      <c r="A44" s="63">
        <v>11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52"/>
        <v>0</v>
      </c>
      <c r="W44" s="61"/>
      <c r="X44" s="60">
        <f t="shared" si="53"/>
        <v>0</v>
      </c>
      <c r="Y44" s="71"/>
      <c r="Z44" s="60">
        <f t="shared" si="54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12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52"/>
        <v>0</v>
      </c>
      <c r="W45" s="61"/>
      <c r="X45" s="60">
        <f t="shared" si="53"/>
        <v>0</v>
      </c>
      <c r="Y45" s="71"/>
      <c r="Z45" s="60">
        <f t="shared" si="54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13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52"/>
        <v>0</v>
      </c>
      <c r="W46" s="61"/>
      <c r="X46" s="60">
        <f t="shared" si="53"/>
        <v>0</v>
      </c>
      <c r="Y46" s="71"/>
      <c r="Z46" s="60">
        <f t="shared" si="54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14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52"/>
        <v>0</v>
      </c>
      <c r="W47" s="61"/>
      <c r="X47" s="60">
        <f t="shared" si="53"/>
        <v>0</v>
      </c>
      <c r="Y47" s="71"/>
      <c r="Z47" s="60">
        <f t="shared" si="54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15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52"/>
        <v>0</v>
      </c>
      <c r="W48" s="61"/>
      <c r="X48" s="60">
        <f t="shared" si="53"/>
        <v>0</v>
      </c>
      <c r="Y48" s="71"/>
      <c r="Z48" s="60">
        <f t="shared" si="54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1" ht="15.75" hidden="1" customHeight="1" x14ac:dyDescent="0.25">
      <c r="A49" s="63">
        <v>16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52"/>
        <v>0</v>
      </c>
      <c r="W49" s="61"/>
      <c r="X49" s="60">
        <f t="shared" si="53"/>
        <v>0</v>
      </c>
      <c r="Y49" s="71"/>
      <c r="Z49" s="60">
        <f t="shared" si="54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1" ht="15.75" hidden="1" customHeight="1" x14ac:dyDescent="0.25">
      <c r="A50" s="63">
        <v>17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52"/>
        <v>0</v>
      </c>
      <c r="W50" s="61"/>
      <c r="X50" s="60">
        <f t="shared" si="53"/>
        <v>0</v>
      </c>
      <c r="Y50" s="71"/>
      <c r="Z50" s="60">
        <f t="shared" si="54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1" ht="15.75" hidden="1" customHeight="1" x14ac:dyDescent="0.25">
      <c r="A51" s="63">
        <v>18</v>
      </c>
      <c r="B51" s="64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70">
        <f t="shared" si="52"/>
        <v>0</v>
      </c>
      <c r="W51" s="61"/>
      <c r="X51" s="60">
        <f t="shared" si="53"/>
        <v>0</v>
      </c>
      <c r="Y51" s="71"/>
      <c r="Z51" s="60">
        <f t="shared" si="54"/>
        <v>0</v>
      </c>
      <c r="AA51" s="60"/>
      <c r="AB51" s="60"/>
      <c r="AC51" s="67"/>
      <c r="AD51" s="62"/>
      <c r="AE51" s="62"/>
      <c r="AF51" s="62"/>
      <c r="AG51" s="67"/>
      <c r="AH51" s="67"/>
      <c r="AI51" s="62"/>
      <c r="AJ51" s="67"/>
      <c r="AK51" s="67"/>
      <c r="AL51" s="62"/>
      <c r="AM51" s="62"/>
      <c r="AN51" s="60"/>
      <c r="AO51" s="62"/>
    </row>
    <row r="52" spans="1:41" ht="15.75" hidden="1" customHeight="1" x14ac:dyDescent="0.25">
      <c r="A52" s="63">
        <v>19</v>
      </c>
      <c r="B52" s="64"/>
      <c r="C52" s="68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70">
        <f t="shared" si="52"/>
        <v>0</v>
      </c>
      <c r="W52" s="61"/>
      <c r="X52" s="60">
        <f t="shared" si="53"/>
        <v>0</v>
      </c>
      <c r="Y52" s="71"/>
      <c r="Z52" s="60">
        <f t="shared" si="54"/>
        <v>0</v>
      </c>
      <c r="AA52" s="60"/>
      <c r="AB52" s="60"/>
      <c r="AC52" s="67"/>
      <c r="AD52" s="62"/>
      <c r="AE52" s="62"/>
      <c r="AF52" s="62"/>
      <c r="AG52" s="67"/>
      <c r="AH52" s="67"/>
      <c r="AI52" s="62"/>
      <c r="AJ52" s="67"/>
      <c r="AK52" s="67"/>
      <c r="AL52" s="62"/>
      <c r="AM52" s="62"/>
      <c r="AN52" s="60"/>
      <c r="AO52" s="62"/>
    </row>
    <row r="53" spans="1:41" ht="16.5" hidden="1" customHeight="1" thickBot="1" x14ac:dyDescent="0.3">
      <c r="A53" s="197" t="s">
        <v>0</v>
      </c>
      <c r="B53" s="198"/>
      <c r="C53" s="72">
        <f>SUM(C34:C52)</f>
        <v>62443</v>
      </c>
      <c r="D53" s="72" t="s">
        <v>82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 t="s">
        <v>82</v>
      </c>
      <c r="U53" s="72"/>
      <c r="V53" s="72">
        <f>SUM(V34:V52)</f>
        <v>31750.128699999997</v>
      </c>
      <c r="W53" s="72" t="s">
        <v>82</v>
      </c>
      <c r="X53" s="72">
        <f>SUM(X34:X52)</f>
        <v>7937.7599999999984</v>
      </c>
      <c r="Y53" s="72" t="s">
        <v>82</v>
      </c>
      <c r="Z53" s="72">
        <f>SUM(Z34:Z52)</f>
        <v>24177.175999999996</v>
      </c>
      <c r="AA53" s="72"/>
      <c r="AB53" s="72"/>
      <c r="AC53" s="72">
        <f>SUM(AC34:AC52)</f>
        <v>148.70000000000002</v>
      </c>
      <c r="AD53" s="72" t="s">
        <v>82</v>
      </c>
      <c r="AE53" s="72" t="s">
        <v>82</v>
      </c>
      <c r="AF53" s="72" t="s">
        <v>82</v>
      </c>
      <c r="AG53" s="72">
        <f>SUM(AG34:AG52)</f>
        <v>148.70000000000002</v>
      </c>
      <c r="AH53" s="72"/>
      <c r="AI53" s="72" t="s">
        <v>82</v>
      </c>
      <c r="AJ53" s="72">
        <f>SUM(AJ34:AJ52)</f>
        <v>148.70000000000002</v>
      </c>
      <c r="AK53" s="72"/>
      <c r="AL53" s="72" t="s">
        <v>82</v>
      </c>
      <c r="AM53" s="72" t="s">
        <v>82</v>
      </c>
      <c r="AN53" s="72">
        <f>SUM(AN34:AN52)</f>
        <v>1270</v>
      </c>
      <c r="AO53" s="72" t="s">
        <v>82</v>
      </c>
    </row>
    <row r="54" spans="1:41" ht="12.75" hidden="1" customHeight="1" x14ac:dyDescent="0.2">
      <c r="C54" s="5"/>
      <c r="W54" s="5"/>
      <c r="Z54" s="5"/>
      <c r="AA54" s="5"/>
      <c r="AB54" s="5"/>
    </row>
    <row r="55" spans="1:41" x14ac:dyDescent="0.2">
      <c r="C55" s="9"/>
      <c r="W55" s="5"/>
      <c r="Z55" s="5"/>
      <c r="AA55" s="5"/>
      <c r="AB55" s="5"/>
    </row>
    <row r="56" spans="1:41" x14ac:dyDescent="0.2">
      <c r="Y56" s="1" t="s">
        <v>83</v>
      </c>
    </row>
    <row r="57" spans="1:41" x14ac:dyDescent="0.2">
      <c r="V57" s="1" t="s">
        <v>83</v>
      </c>
      <c r="X57" s="1" t="s">
        <v>83</v>
      </c>
      <c r="AC57" s="1" t="s">
        <v>83</v>
      </c>
      <c r="AG57" s="1" t="s">
        <v>83</v>
      </c>
      <c r="AJ57" s="1" t="s">
        <v>83</v>
      </c>
      <c r="AM57" s="5"/>
    </row>
    <row r="58" spans="1:41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  <c r="V58" s="5" t="s">
        <v>83</v>
      </c>
      <c r="X58" s="5"/>
    </row>
    <row r="59" spans="1:41" x14ac:dyDescent="0.2">
      <c r="D59" s="5" t="s">
        <v>83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83</v>
      </c>
      <c r="U59" s="5"/>
      <c r="V59" s="5" t="s">
        <v>83</v>
      </c>
      <c r="X59" s="1" t="s">
        <v>83</v>
      </c>
      <c r="Y59" s="1" t="s">
        <v>83</v>
      </c>
      <c r="AC59" s="1" t="s">
        <v>83</v>
      </c>
      <c r="AG59" s="1" t="s">
        <v>83</v>
      </c>
      <c r="AJ59" s="1" t="s">
        <v>83</v>
      </c>
      <c r="AN59" s="1" t="s">
        <v>83</v>
      </c>
    </row>
    <row r="60" spans="1:41" x14ac:dyDescent="0.2">
      <c r="D60" s="5" t="s">
        <v>83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83</v>
      </c>
      <c r="U60" s="5"/>
    </row>
    <row r="61" spans="1:41" x14ac:dyDescent="0.2">
      <c r="AM61" s="1" t="s">
        <v>83</v>
      </c>
    </row>
    <row r="62" spans="1:41" x14ac:dyDescent="0.2">
      <c r="AD62" s="1" t="s">
        <v>83</v>
      </c>
      <c r="AE62" s="1" t="s">
        <v>83</v>
      </c>
      <c r="AF62" s="1" t="s">
        <v>83</v>
      </c>
      <c r="AI62" s="1" t="s">
        <v>83</v>
      </c>
      <c r="AL62" s="1" t="s">
        <v>83</v>
      </c>
    </row>
    <row r="63" spans="1:41" x14ac:dyDescent="0.2">
      <c r="AD63" s="1" t="s">
        <v>83</v>
      </c>
      <c r="AE63" s="1" t="s">
        <v>83</v>
      </c>
      <c r="AF63" s="1" t="s">
        <v>83</v>
      </c>
      <c r="AI63" s="1" t="s">
        <v>83</v>
      </c>
      <c r="AL63" s="1" t="s">
        <v>83</v>
      </c>
      <c r="AM63" s="5" t="s">
        <v>83</v>
      </c>
    </row>
    <row r="65" spans="39:42" x14ac:dyDescent="0.2">
      <c r="AM65" s="1" t="s">
        <v>83</v>
      </c>
      <c r="AP65" s="1" t="s">
        <v>83</v>
      </c>
    </row>
    <row r="69" spans="39:42" x14ac:dyDescent="0.2">
      <c r="AP69" s="1" t="s">
        <v>83</v>
      </c>
    </row>
  </sheetData>
  <mergeCells count="73">
    <mergeCell ref="AN29:AN31"/>
    <mergeCell ref="AO29:AO31"/>
    <mergeCell ref="Z29:Z31"/>
    <mergeCell ref="AA29:AA31"/>
    <mergeCell ref="AB29:AB31"/>
    <mergeCell ref="A32:B32"/>
    <mergeCell ref="A33:B33"/>
    <mergeCell ref="A53:B53"/>
    <mergeCell ref="AG29:AG31"/>
    <mergeCell ref="AM29:AM31"/>
    <mergeCell ref="C29:C31"/>
    <mergeCell ref="D29:D31"/>
    <mergeCell ref="AC29:AC31"/>
    <mergeCell ref="AD29:AD31"/>
    <mergeCell ref="V29:V31"/>
    <mergeCell ref="W29:W31"/>
    <mergeCell ref="X29:X31"/>
    <mergeCell ref="Y29:Y31"/>
    <mergeCell ref="T29:T31"/>
    <mergeCell ref="AE29:AE31"/>
    <mergeCell ref="AF29:AF31"/>
    <mergeCell ref="A8:B8"/>
    <mergeCell ref="A7:B7"/>
    <mergeCell ref="A22:B22"/>
    <mergeCell ref="A29:A31"/>
    <mergeCell ref="B29:B31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9:AJ31"/>
    <mergeCell ref="AL29:AL31"/>
    <mergeCell ref="AI29:AI31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9"/>
  <sheetViews>
    <sheetView tabSelected="1" topLeftCell="L1" zoomScaleNormal="100" zoomScaleSheetLayoutView="115" workbookViewId="0">
      <selection activeCell="B30" sqref="B30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3" customFormat="1" ht="18.75" x14ac:dyDescent="0.3">
      <c r="A1" s="80"/>
      <c r="B1" s="81"/>
      <c r="C1" s="82"/>
      <c r="N1" s="84"/>
      <c r="Q1" s="85"/>
      <c r="R1" s="207"/>
      <c r="S1" s="207"/>
      <c r="T1" s="207"/>
    </row>
    <row r="2" spans="1:20" s="83" customFormat="1" ht="17.649999999999999" customHeight="1" x14ac:dyDescent="0.35">
      <c r="A2" s="169">
        <f ca="1">NOW()</f>
        <v>43623.451371527779</v>
      </c>
      <c r="B2" s="169"/>
      <c r="C2" s="108" t="s">
        <v>98</v>
      </c>
      <c r="D2" s="106"/>
      <c r="E2" s="106"/>
      <c r="F2" s="106"/>
      <c r="G2" s="106"/>
      <c r="H2" s="106"/>
      <c r="I2" s="106"/>
      <c r="J2" s="106"/>
      <c r="K2" s="106"/>
      <c r="L2" s="90">
        <v>0</v>
      </c>
      <c r="N2" s="88"/>
      <c r="O2" s="92"/>
      <c r="P2" s="91"/>
      <c r="Q2" s="87"/>
      <c r="R2" s="87"/>
      <c r="S2" s="87"/>
      <c r="T2" s="87"/>
    </row>
    <row r="3" spans="1:20" s="83" customFormat="1" ht="17.649999999999999" customHeight="1" x14ac:dyDescent="0.35">
      <c r="A3" s="105"/>
      <c r="B3" s="105"/>
      <c r="C3" s="108" t="s">
        <v>116</v>
      </c>
      <c r="D3" s="106"/>
      <c r="E3" s="106"/>
      <c r="F3" s="106"/>
      <c r="G3" s="106"/>
      <c r="H3" s="106"/>
      <c r="I3" s="106"/>
      <c r="J3" s="106"/>
      <c r="K3" s="106"/>
      <c r="L3" s="88"/>
      <c r="M3" s="88"/>
      <c r="N3" s="88"/>
      <c r="O3" s="92"/>
      <c r="P3" s="91"/>
      <c r="Q3" s="87"/>
      <c r="R3" s="87"/>
      <c r="S3" s="87"/>
      <c r="T3" s="87"/>
    </row>
    <row r="4" spans="1:20" s="83" customFormat="1" ht="17.649999999999999" customHeight="1" x14ac:dyDescent="0.35">
      <c r="A4" s="105"/>
      <c r="B4" s="105"/>
      <c r="C4" s="108" t="s">
        <v>105</v>
      </c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92"/>
      <c r="P4" s="91"/>
      <c r="Q4" s="87"/>
      <c r="R4" s="87"/>
      <c r="S4" s="87"/>
      <c r="T4" s="87"/>
    </row>
    <row r="5" spans="1:20" s="83" customFormat="1" ht="17.649999999999999" customHeight="1" x14ac:dyDescent="0.35">
      <c r="A5" s="105"/>
      <c r="B5" s="105"/>
      <c r="C5" s="108"/>
      <c r="D5" s="106"/>
      <c r="E5" s="106"/>
      <c r="F5" s="106"/>
      <c r="G5" s="106"/>
      <c r="H5" s="106"/>
      <c r="I5" s="106"/>
      <c r="J5" s="106"/>
      <c r="K5" s="106"/>
      <c r="L5" s="88"/>
      <c r="M5" s="88"/>
      <c r="N5" s="88"/>
      <c r="O5" s="92"/>
      <c r="P5" s="91"/>
      <c r="Q5" s="87"/>
      <c r="R5" s="87"/>
      <c r="S5" s="87"/>
      <c r="T5" s="87"/>
    </row>
    <row r="6" spans="1:20" s="83" customFormat="1" ht="17.649999999999999" customHeight="1" x14ac:dyDescent="0.35">
      <c r="A6" s="2"/>
      <c r="B6" s="2"/>
      <c r="C6" s="106"/>
      <c r="D6" s="106"/>
      <c r="E6" s="106"/>
      <c r="F6" s="106"/>
      <c r="G6" s="106"/>
      <c r="H6" s="106"/>
      <c r="I6" s="106"/>
      <c r="J6" s="106"/>
      <c r="K6" s="106"/>
      <c r="L6" s="88"/>
      <c r="M6" s="88"/>
      <c r="N6" s="88"/>
      <c r="O6" s="92"/>
      <c r="P6" s="91"/>
      <c r="Q6" s="87"/>
      <c r="R6" s="87"/>
      <c r="S6" s="87"/>
      <c r="T6" s="87"/>
    </row>
    <row r="7" spans="1:20" s="83" customFormat="1" ht="15.75" customHeight="1" x14ac:dyDescent="0.25">
      <c r="A7" s="2" t="s">
        <v>9</v>
      </c>
      <c r="B7" s="2"/>
      <c r="C7" s="107"/>
      <c r="D7" s="107"/>
      <c r="E7" s="107"/>
      <c r="F7" s="107"/>
      <c r="G7" s="107"/>
      <c r="H7" s="107"/>
      <c r="I7" s="107"/>
      <c r="J7" s="107"/>
      <c r="K7" s="106"/>
      <c r="L7" s="92"/>
      <c r="M7" s="87"/>
      <c r="N7" s="92"/>
      <c r="O7" s="92"/>
      <c r="P7" s="92"/>
      <c r="Q7" s="92"/>
      <c r="R7" s="92"/>
      <c r="S7" s="92"/>
      <c r="T7" s="87"/>
    </row>
    <row r="8" spans="1:20" s="83" customFormat="1" ht="13.15" customHeight="1" x14ac:dyDescent="0.2">
      <c r="A8" s="170" t="s">
        <v>1</v>
      </c>
      <c r="B8" s="170" t="s">
        <v>2</v>
      </c>
      <c r="C8" s="171" t="s">
        <v>96</v>
      </c>
      <c r="D8" s="170" t="s">
        <v>106</v>
      </c>
      <c r="E8" s="168" t="s">
        <v>113</v>
      </c>
      <c r="F8" s="170" t="s">
        <v>107</v>
      </c>
      <c r="G8" s="170" t="s">
        <v>108</v>
      </c>
      <c r="H8" s="170" t="s">
        <v>109</v>
      </c>
      <c r="I8" s="170" t="s">
        <v>110</v>
      </c>
      <c r="J8" s="168" t="s">
        <v>97</v>
      </c>
      <c r="K8" s="168" t="s">
        <v>165</v>
      </c>
      <c r="L8" s="205" t="s">
        <v>114</v>
      </c>
    </row>
    <row r="9" spans="1:20" s="83" customFormat="1" ht="13.15" customHeight="1" x14ac:dyDescent="0.2">
      <c r="A9" s="170"/>
      <c r="B9" s="170"/>
      <c r="C9" s="171"/>
      <c r="D9" s="170"/>
      <c r="E9" s="168"/>
      <c r="F9" s="170"/>
      <c r="G9" s="170"/>
      <c r="H9" s="170"/>
      <c r="I9" s="170"/>
      <c r="J9" s="168"/>
      <c r="K9" s="168"/>
      <c r="L9" s="206"/>
    </row>
    <row r="10" spans="1:20" s="83" customFormat="1" ht="100.5" customHeight="1" x14ac:dyDescent="0.2">
      <c r="A10" s="170"/>
      <c r="B10" s="170"/>
      <c r="C10" s="171"/>
      <c r="D10" s="170"/>
      <c r="E10" s="168"/>
      <c r="F10" s="170"/>
      <c r="G10" s="170"/>
      <c r="H10" s="170"/>
      <c r="I10" s="170"/>
      <c r="J10" s="168"/>
      <c r="K10" s="168"/>
      <c r="L10" s="173"/>
    </row>
    <row r="11" spans="1:20" s="93" customFormat="1" ht="27" customHeight="1" x14ac:dyDescent="0.2">
      <c r="A11" s="174" t="s">
        <v>41</v>
      </c>
      <c r="B11" s="175"/>
      <c r="C11" s="20">
        <v>1</v>
      </c>
      <c r="D11" s="20">
        <v>2</v>
      </c>
      <c r="E11" s="152" t="s">
        <v>111</v>
      </c>
      <c r="F11" s="20">
        <v>4</v>
      </c>
      <c r="G11" s="20">
        <v>5</v>
      </c>
      <c r="H11" s="20">
        <v>6</v>
      </c>
      <c r="I11" s="20">
        <v>7</v>
      </c>
      <c r="J11" s="152" t="s">
        <v>112</v>
      </c>
      <c r="K11" s="154" t="s">
        <v>163</v>
      </c>
      <c r="L11" s="152" t="s">
        <v>166</v>
      </c>
    </row>
    <row r="12" spans="1:20" s="83" customFormat="1" ht="16.5" customHeight="1" x14ac:dyDescent="0.2">
      <c r="A12" s="176"/>
      <c r="B12" s="177"/>
      <c r="C12" s="20"/>
      <c r="D12" s="119"/>
      <c r="E12" s="120"/>
      <c r="F12" s="119"/>
      <c r="G12" s="119"/>
      <c r="H12" s="119"/>
      <c r="I12" s="119"/>
      <c r="J12" s="120"/>
      <c r="K12" s="120"/>
      <c r="L12" s="101">
        <v>0</v>
      </c>
    </row>
    <row r="13" spans="1:20" s="7" customFormat="1" ht="18" customHeight="1" x14ac:dyDescent="0.25">
      <c r="A13" s="30" t="s">
        <v>28</v>
      </c>
      <c r="B13" s="55" t="s">
        <v>167</v>
      </c>
      <c r="C13" s="115">
        <v>2000</v>
      </c>
      <c r="D13" s="116">
        <v>70</v>
      </c>
      <c r="E13" s="118">
        <f>C13+D13</f>
        <v>2070</v>
      </c>
      <c r="F13" s="116">
        <v>1500</v>
      </c>
      <c r="G13" s="116">
        <v>300</v>
      </c>
      <c r="H13" s="116">
        <v>500</v>
      </c>
      <c r="I13" s="116">
        <v>500</v>
      </c>
      <c r="J13" s="17">
        <f t="shared" ref="J13:J25" si="0">SUM(F13:I13)</f>
        <v>2800</v>
      </c>
      <c r="K13" s="17">
        <f>IF(E13&lt;J13,J13-E13,0)</f>
        <v>730</v>
      </c>
      <c r="L13" s="17">
        <f t="shared" ref="L13:L18" si="1">ROUND(K13/$K$26*$L$12,0)</f>
        <v>0</v>
      </c>
    </row>
    <row r="14" spans="1:20" s="7" customFormat="1" ht="16.5" x14ac:dyDescent="0.25">
      <c r="A14" s="30" t="s">
        <v>24</v>
      </c>
      <c r="B14" s="64" t="s">
        <v>168</v>
      </c>
      <c r="C14" s="115">
        <v>1000</v>
      </c>
      <c r="D14" s="116">
        <v>17</v>
      </c>
      <c r="E14" s="118">
        <f t="shared" ref="E14:E25" si="2">C14+D14</f>
        <v>1017</v>
      </c>
      <c r="F14" s="116">
        <v>1200</v>
      </c>
      <c r="G14" s="116">
        <v>300</v>
      </c>
      <c r="H14" s="116">
        <v>700</v>
      </c>
      <c r="I14" s="116">
        <v>700</v>
      </c>
      <c r="J14" s="17">
        <f t="shared" si="0"/>
        <v>2900</v>
      </c>
      <c r="K14" s="17">
        <f t="shared" ref="K14:K25" si="3">IF(E14&lt;J14,J14-E14,0)</f>
        <v>1883</v>
      </c>
      <c r="L14" s="17">
        <f t="shared" si="1"/>
        <v>0</v>
      </c>
    </row>
    <row r="15" spans="1:20" s="7" customFormat="1" ht="16.5" customHeight="1" x14ac:dyDescent="0.25">
      <c r="A15" s="30" t="s">
        <v>27</v>
      </c>
      <c r="B15" s="64" t="s">
        <v>169</v>
      </c>
      <c r="C15" s="115">
        <v>2500</v>
      </c>
      <c r="D15" s="116">
        <v>38</v>
      </c>
      <c r="E15" s="118">
        <f t="shared" si="2"/>
        <v>2538</v>
      </c>
      <c r="F15" s="116">
        <v>2000</v>
      </c>
      <c r="G15" s="116">
        <v>300</v>
      </c>
      <c r="H15" s="116">
        <v>500</v>
      </c>
      <c r="I15" s="116">
        <v>500</v>
      </c>
      <c r="J15" s="17">
        <f t="shared" si="0"/>
        <v>3300</v>
      </c>
      <c r="K15" s="17">
        <f t="shared" si="3"/>
        <v>762</v>
      </c>
      <c r="L15" s="17">
        <f t="shared" si="1"/>
        <v>0</v>
      </c>
    </row>
    <row r="16" spans="1:20" s="7" customFormat="1" ht="16.5" customHeight="1" x14ac:dyDescent="0.25">
      <c r="A16" s="30" t="s">
        <v>25</v>
      </c>
      <c r="B16" s="64" t="s">
        <v>170</v>
      </c>
      <c r="C16" s="115">
        <v>1500</v>
      </c>
      <c r="D16" s="116">
        <v>55</v>
      </c>
      <c r="E16" s="118">
        <f t="shared" si="2"/>
        <v>1555</v>
      </c>
      <c r="F16" s="116">
        <v>1500</v>
      </c>
      <c r="G16" s="116">
        <v>300</v>
      </c>
      <c r="H16" s="116">
        <v>700</v>
      </c>
      <c r="I16" s="116">
        <v>700</v>
      </c>
      <c r="J16" s="17">
        <f t="shared" si="0"/>
        <v>3200</v>
      </c>
      <c r="K16" s="17">
        <f t="shared" si="3"/>
        <v>1645</v>
      </c>
      <c r="L16" s="17">
        <f t="shared" si="1"/>
        <v>0</v>
      </c>
    </row>
    <row r="17" spans="1:20" s="7" customFormat="1" ht="16.5" customHeight="1" x14ac:dyDescent="0.25">
      <c r="A17" s="30" t="s">
        <v>29</v>
      </c>
      <c r="B17" s="64" t="s">
        <v>171</v>
      </c>
      <c r="C17" s="115">
        <v>1300</v>
      </c>
      <c r="D17" s="116">
        <v>55</v>
      </c>
      <c r="E17" s="118">
        <f t="shared" si="2"/>
        <v>1355</v>
      </c>
      <c r="F17" s="116">
        <v>1300</v>
      </c>
      <c r="G17" s="116">
        <v>300</v>
      </c>
      <c r="H17" s="116">
        <v>500</v>
      </c>
      <c r="I17" s="116">
        <v>500</v>
      </c>
      <c r="J17" s="17">
        <f t="shared" si="0"/>
        <v>2600</v>
      </c>
      <c r="K17" s="17">
        <f t="shared" si="3"/>
        <v>1245</v>
      </c>
      <c r="L17" s="17">
        <f t="shared" si="1"/>
        <v>0</v>
      </c>
    </row>
    <row r="18" spans="1:20" s="7" customFormat="1" ht="16.5" customHeight="1" x14ac:dyDescent="0.25">
      <c r="A18" s="30" t="s">
        <v>30</v>
      </c>
      <c r="B18" s="64" t="s">
        <v>172</v>
      </c>
      <c r="C18" s="115">
        <v>1400</v>
      </c>
      <c r="D18" s="116">
        <v>68</v>
      </c>
      <c r="E18" s="118">
        <f t="shared" si="2"/>
        <v>1468</v>
      </c>
      <c r="F18" s="116">
        <v>1400</v>
      </c>
      <c r="G18" s="116">
        <v>300</v>
      </c>
      <c r="H18" s="116">
        <v>700</v>
      </c>
      <c r="I18" s="116">
        <v>700</v>
      </c>
      <c r="J18" s="17">
        <f t="shared" si="0"/>
        <v>3100</v>
      </c>
      <c r="K18" s="17">
        <f t="shared" si="3"/>
        <v>1632</v>
      </c>
      <c r="L18" s="17">
        <f t="shared" si="1"/>
        <v>0</v>
      </c>
    </row>
    <row r="19" spans="1:20" s="7" customFormat="1" ht="16.5" customHeight="1" x14ac:dyDescent="0.25">
      <c r="A19" s="30" t="s">
        <v>26</v>
      </c>
      <c r="B19" s="64" t="s">
        <v>173</v>
      </c>
      <c r="C19" s="115">
        <v>1400</v>
      </c>
      <c r="D19" s="116">
        <v>68</v>
      </c>
      <c r="E19" s="118">
        <f t="shared" ref="E19:E20" si="4">C19+D19</f>
        <v>1468</v>
      </c>
      <c r="F19" s="116">
        <v>1400</v>
      </c>
      <c r="G19" s="116">
        <v>300</v>
      </c>
      <c r="H19" s="116">
        <v>700</v>
      </c>
      <c r="I19" s="116">
        <v>700</v>
      </c>
      <c r="J19" s="17">
        <f t="shared" ref="J19:J20" si="5">SUM(F19:I19)</f>
        <v>3100</v>
      </c>
      <c r="K19" s="17">
        <f t="shared" ref="K19:K20" si="6">IF(E19&lt;J19,J19-E19,0)</f>
        <v>1632</v>
      </c>
      <c r="L19" s="17">
        <f t="shared" ref="L19:L20" si="7">ROUND(K19/$K$26*$L$12,0)</f>
        <v>0</v>
      </c>
    </row>
    <row r="20" spans="1:20" s="7" customFormat="1" ht="16.5" customHeight="1" x14ac:dyDescent="0.25">
      <c r="A20" s="30" t="s">
        <v>31</v>
      </c>
      <c r="B20" s="64" t="s">
        <v>174</v>
      </c>
      <c r="C20" s="115">
        <v>1400</v>
      </c>
      <c r="D20" s="116">
        <v>68</v>
      </c>
      <c r="E20" s="118">
        <f t="shared" si="4"/>
        <v>1468</v>
      </c>
      <c r="F20" s="116">
        <v>1400</v>
      </c>
      <c r="G20" s="116">
        <v>300</v>
      </c>
      <c r="H20" s="116">
        <v>700</v>
      </c>
      <c r="I20" s="116">
        <v>700</v>
      </c>
      <c r="J20" s="17">
        <f t="shared" si="5"/>
        <v>3100</v>
      </c>
      <c r="K20" s="17">
        <f t="shared" si="6"/>
        <v>1632</v>
      </c>
      <c r="L20" s="17">
        <f t="shared" si="7"/>
        <v>0</v>
      </c>
    </row>
    <row r="21" spans="1:20" s="7" customFormat="1" ht="16.5" customHeight="1" x14ac:dyDescent="0.25">
      <c r="A21" s="30" t="s">
        <v>32</v>
      </c>
      <c r="B21" s="64" t="s">
        <v>175</v>
      </c>
      <c r="C21" s="115">
        <v>500</v>
      </c>
      <c r="D21" s="116">
        <v>41</v>
      </c>
      <c r="E21" s="118">
        <f t="shared" si="2"/>
        <v>541</v>
      </c>
      <c r="F21" s="116">
        <v>500</v>
      </c>
      <c r="G21" s="116">
        <v>300</v>
      </c>
      <c r="H21" s="116">
        <v>500</v>
      </c>
      <c r="I21" s="116">
        <v>500</v>
      </c>
      <c r="J21" s="17">
        <f t="shared" si="0"/>
        <v>1800</v>
      </c>
      <c r="K21" s="17">
        <f t="shared" si="3"/>
        <v>1259</v>
      </c>
      <c r="L21" s="17">
        <f>ROUND(K21/$K$26*$L$12,0)</f>
        <v>0</v>
      </c>
    </row>
    <row r="22" spans="1:20" s="7" customFormat="1" ht="16.5" customHeight="1" x14ac:dyDescent="0.25">
      <c r="A22" s="30" t="s">
        <v>4</v>
      </c>
      <c r="B22" s="64" t="s">
        <v>176</v>
      </c>
      <c r="C22" s="115">
        <v>600</v>
      </c>
      <c r="D22" s="116">
        <v>30</v>
      </c>
      <c r="E22" s="118">
        <f t="shared" si="2"/>
        <v>630</v>
      </c>
      <c r="F22" s="116">
        <v>700</v>
      </c>
      <c r="G22" s="116">
        <v>300</v>
      </c>
      <c r="H22" s="116">
        <v>700</v>
      </c>
      <c r="I22" s="116">
        <v>700</v>
      </c>
      <c r="J22" s="17">
        <f t="shared" si="0"/>
        <v>2400</v>
      </c>
      <c r="K22" s="17">
        <f t="shared" si="3"/>
        <v>1770</v>
      </c>
      <c r="L22" s="17">
        <f>ROUND(K22/$K$26*$L$12,0)</f>
        <v>0</v>
      </c>
    </row>
    <row r="23" spans="1:20" s="7" customFormat="1" ht="16.5" customHeight="1" x14ac:dyDescent="0.25">
      <c r="A23" s="30" t="s">
        <v>5</v>
      </c>
      <c r="B23" s="64" t="s">
        <v>177</v>
      </c>
      <c r="C23" s="115">
        <v>1000</v>
      </c>
      <c r="D23" s="116">
        <v>39</v>
      </c>
      <c r="E23" s="118">
        <f t="shared" si="2"/>
        <v>1039</v>
      </c>
      <c r="F23" s="116">
        <v>1500</v>
      </c>
      <c r="G23" s="116">
        <v>300</v>
      </c>
      <c r="H23" s="116">
        <v>500</v>
      </c>
      <c r="I23" s="116">
        <v>500</v>
      </c>
      <c r="J23" s="17">
        <f t="shared" si="0"/>
        <v>2800</v>
      </c>
      <c r="K23" s="17">
        <f t="shared" si="3"/>
        <v>1761</v>
      </c>
      <c r="L23" s="17">
        <f>ROUND(K23/$K$26*$L$12,0)</f>
        <v>0</v>
      </c>
    </row>
    <row r="24" spans="1:20" s="7" customFormat="1" ht="16.5" customHeight="1" x14ac:dyDescent="0.25">
      <c r="A24" s="30" t="s">
        <v>180</v>
      </c>
      <c r="B24" s="64" t="s">
        <v>178</v>
      </c>
      <c r="C24" s="115">
        <v>2000</v>
      </c>
      <c r="D24" s="116">
        <v>47</v>
      </c>
      <c r="E24" s="118">
        <f t="shared" si="2"/>
        <v>2047</v>
      </c>
      <c r="F24" s="116">
        <v>1500</v>
      </c>
      <c r="G24" s="116">
        <v>300</v>
      </c>
      <c r="H24" s="116">
        <v>700</v>
      </c>
      <c r="I24" s="116">
        <v>700</v>
      </c>
      <c r="J24" s="17">
        <f t="shared" si="0"/>
        <v>3200</v>
      </c>
      <c r="K24" s="17">
        <f t="shared" si="3"/>
        <v>1153</v>
      </c>
      <c r="L24" s="17">
        <f>ROUND(K24/$K$26*$L$12,0)</f>
        <v>0</v>
      </c>
    </row>
    <row r="25" spans="1:20" s="7" customFormat="1" ht="16.5" customHeight="1" x14ac:dyDescent="0.25">
      <c r="A25" s="30" t="s">
        <v>181</v>
      </c>
      <c r="B25" s="64" t="s">
        <v>179</v>
      </c>
      <c r="C25" s="115">
        <v>3000</v>
      </c>
      <c r="D25" s="116">
        <v>40</v>
      </c>
      <c r="E25" s="118">
        <f t="shared" si="2"/>
        <v>3040</v>
      </c>
      <c r="F25" s="116">
        <v>1500</v>
      </c>
      <c r="G25" s="116">
        <v>300</v>
      </c>
      <c r="H25" s="116">
        <v>500</v>
      </c>
      <c r="I25" s="116">
        <v>500</v>
      </c>
      <c r="J25" s="17">
        <f t="shared" si="0"/>
        <v>2800</v>
      </c>
      <c r="K25" s="17">
        <f t="shared" si="3"/>
        <v>0</v>
      </c>
      <c r="L25" s="17">
        <f>ROUND(K25/$K$26*$L$12,0)</f>
        <v>0</v>
      </c>
    </row>
    <row r="26" spans="1:20" s="7" customFormat="1" ht="16.5" x14ac:dyDescent="0.25">
      <c r="A26" s="172" t="s">
        <v>0</v>
      </c>
      <c r="B26" s="172"/>
      <c r="C26" s="117">
        <f>SUM(C13:C25)</f>
        <v>19600</v>
      </c>
      <c r="D26" s="117">
        <f t="shared" ref="D26:L26" si="8">SUM(D13:D25)</f>
        <v>636</v>
      </c>
      <c r="E26" s="117">
        <f t="shared" si="8"/>
        <v>20236</v>
      </c>
      <c r="F26" s="117">
        <f t="shared" si="8"/>
        <v>17400</v>
      </c>
      <c r="G26" s="117">
        <f t="shared" si="8"/>
        <v>3900</v>
      </c>
      <c r="H26" s="117">
        <f t="shared" si="8"/>
        <v>7900</v>
      </c>
      <c r="I26" s="117">
        <f t="shared" si="8"/>
        <v>7900</v>
      </c>
      <c r="J26" s="110">
        <f t="shared" si="8"/>
        <v>37100</v>
      </c>
      <c r="K26" s="110">
        <f t="shared" si="8"/>
        <v>17104</v>
      </c>
      <c r="L26" s="110">
        <f t="shared" si="8"/>
        <v>0</v>
      </c>
    </row>
    <row r="27" spans="1:2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2"/>
      <c r="N27" s="7"/>
      <c r="O27" s="7"/>
      <c r="P27" s="7"/>
      <c r="Q27" s="7"/>
      <c r="R27" s="12"/>
      <c r="S27" s="12"/>
      <c r="T27" s="7"/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7"/>
      <c r="Q28" s="7"/>
      <c r="R28" s="7"/>
      <c r="S28" s="7"/>
      <c r="T28" s="7"/>
    </row>
    <row r="29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6:B26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2019</vt:lpstr>
      <vt:lpstr>ИНП2019</vt:lpstr>
      <vt:lpstr>ИБР2019</vt:lpstr>
      <vt:lpstr>Регион сбалансир 2019</vt:lpstr>
      <vt:lpstr>ИБР2019!Заголовки_для_печати</vt:lpstr>
      <vt:lpstr>ИНП2019!Заголовки_для_печати</vt:lpstr>
      <vt:lpstr>'Регион сбалансир 2019'!Заголовки_для_печати</vt:lpstr>
      <vt:lpstr>'Регион ФФПП 2019'!Заголовки_для_печати</vt:lpstr>
      <vt:lpstr>ИБР2019!Область_печати</vt:lpstr>
      <vt:lpstr>ИНП2019!Область_печати</vt:lpstr>
      <vt:lpstr>'Регион сбалансир 2019'!Область_печати</vt:lpstr>
      <vt:lpstr>'Регион ФФПП 2019'!Область_печати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2017-11-15T05:32:33Z</cp:lastPrinted>
  <dcterms:created xsi:type="dcterms:W3CDTF">1996-11-09T08:12:45Z</dcterms:created>
  <dcterms:modified xsi:type="dcterms:W3CDTF">2019-06-07T06:50:47Z</dcterms:modified>
</cp:coreProperties>
</file>