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 activeTab="2"/>
  </bookViews>
  <sheets>
    <sheet name="Регион ФФПП 2019" sheetId="115" r:id="rId1"/>
    <sheet name="ИНП2019" sheetId="61" r:id="rId2"/>
    <sheet name="ИБР2019" sheetId="94" r:id="rId3"/>
    <sheet name="Регион сбалансир 2019" sheetId="117" r:id="rId4"/>
  </sheets>
  <definedNames>
    <definedName name="_xlnm.Print_Titles" localSheetId="2">ИБР2019!$A:$B</definedName>
    <definedName name="_xlnm.Print_Titles" localSheetId="1">ИНП2019!$A:$B,ИНП2019!$3:$8</definedName>
    <definedName name="_xlnm.Print_Titles" localSheetId="3">'Регион сбалансир 2019'!$A:$B</definedName>
    <definedName name="_xlnm.Print_Titles" localSheetId="0">'Регион ФФПП 2019'!$A:$B</definedName>
    <definedName name="_xlnm.Print_Area" localSheetId="2">ИБР2019!$A$1:$AR$22</definedName>
    <definedName name="_xlnm.Print_Area" localSheetId="1">ИНП2019!$A$1:$U$22</definedName>
    <definedName name="_xlnm.Print_Area" localSheetId="3">'Регион сбалансир 2019'!$A$1:$L$26</definedName>
    <definedName name="_xlnm.Print_Area" localSheetId="0">'Регион ФФПП 2019'!$A$1:$O$25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Y21" i="94" l="1"/>
  <c r="AY20" i="94"/>
  <c r="AY19" i="94"/>
  <c r="AY18" i="94"/>
  <c r="AY17" i="94"/>
  <c r="AY16" i="94"/>
  <c r="AY15" i="94"/>
  <c r="AY14" i="94"/>
  <c r="AY13" i="94"/>
  <c r="AY12" i="94"/>
  <c r="AY22" i="94" s="1"/>
  <c r="AY11" i="94"/>
  <c r="AY10" i="94"/>
  <c r="AX22" i="94"/>
  <c r="AW22" i="94"/>
  <c r="AV22" i="94"/>
  <c r="AU22" i="94"/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J22" i="115" s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K25" i="115" l="1"/>
  <c r="L22" i="115" s="1"/>
  <c r="L16" i="115" l="1"/>
  <c r="L23" i="115"/>
  <c r="L13" i="115"/>
  <c r="L21" i="115"/>
  <c r="L19" i="115"/>
  <c r="L24" i="115"/>
  <c r="L12" i="115"/>
  <c r="N12" i="115" s="1"/>
  <c r="O12" i="115" s="1"/>
  <c r="L15" i="115"/>
  <c r="L18" i="115"/>
  <c r="L14" i="115"/>
  <c r="L20" i="115"/>
  <c r="L17" i="115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<sst xmlns="http://schemas.openxmlformats.org/spreadsheetml/2006/main" count="385" uniqueCount="188">
  <si>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</si>
  <si>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</si>
  <si>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</si>
  <si>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</si>
  <si>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</si>
  <si>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</si>
  <si>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</si>
  <si>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</si>
  <si>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</si>
  <si>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</si>
  <si>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</si>
  <si>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</si>
  <si>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</si>
  <si>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</si>
  <si>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</si>
  <si>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</si>
  <si>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</si>
  <si>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</si>
  <si>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</si>
  <si>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</si>
  <si>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</si>
  <si>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</si>
  <si>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</si>
  <si>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</si>
  <si>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</si>
  <si>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</si>
  <si>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</si>
  <si>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</si>
  <si>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</si>
  <si>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</si>
  <si>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</si>
  <si>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</si>
  <si>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</si>
  <si>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</si>
  <si>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</si>
  <si>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</si>
  <si>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</si>
  <si>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</si>
  <si>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</si>
  <si>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</si>
  <si>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</si>
  <si>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</si>
  <si>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</si>
  <si>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</si>
  <si>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</si>
  <si>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</si>
  <si>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</si>
  <si>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</si>
  <si>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</si>
  <si>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</si>
  <si>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</si>
  <si>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</si>
  <si>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</si>
  <si>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</si>
  <si>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</si>
  <si>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</si>
  <si>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</si>
  <si>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</si>
  <si>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</si>
  <si>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</si>
  <si>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</si>
  <si>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</si>
  <si>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</si>
  <si>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</si>
  <si>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</si>
  <si>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</si>
  <si>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</si>
  <si>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</si>
  <si>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</si>
  <si>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</si>
  <si>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</si>
  <si>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</si>
  <si>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</si>
  <si>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</si>
  <si>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</si>
  <si>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</si>
  <si>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</si>
  <si>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</si>
  <si>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</si>
  <si>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</si>
  <si>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</si>
  <si>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</si>
  <si>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</si>
  <si>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</si>
  <si>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</si>
  <si>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</si>
  <si>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</si>
  <si>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</si>
  <si>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</si>
  <si>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</si>
  <si>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</si>
  <si>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</si>
  <si>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</si>
  <si>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</si>
  <si>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</si>
  <si>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</si>
  <si>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</si>
  <si>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</si>
  <si>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</si>
  <si>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</si>
  <si>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</si>
  <si>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</si>
  <si>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</si>
  <si>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</si>
  <si>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</si>
  <si>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</si>
  <si>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</si>
  <si>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</si>
  <si>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</si>
  <si>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</si>
  <si>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</si>
  <si>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</si>
  <si>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</si>
  <si>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</si>
  <si>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</si>
  <si>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</si>
  <si>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</si>
  <si>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</si>
  <si>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</si>
  <si>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</si>
  <si>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</si>
  <si>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</si>
  <si>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</si>
  <si>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</si>
  <si>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</si>
  <si>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</si>
  <si>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</si>
  <si>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</si>
  <si>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</si>
  <si>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</si>
  <si>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</si>
  <si>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</si>
  <si>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</si>
  <si>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</si>
  <si>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</si>
  <si>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</si>
  <si>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</si>
  <si>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</si>
  <si>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</si>
  <si>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</si>
  <si>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</si>
  <si>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</si>
  <si>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</si>
  <si>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</si>
  <si>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</si>
  <si>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</si>
  <si>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</si>
  <si>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</si>
  <si>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</si>
  <si>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</si>
  <si>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</si>
  <si>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</si>
  <si>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</si>
  <si>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</si>
  <si>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</si>
  <si>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</si>
  <si>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</si>
  <si>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</si>
  <si>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</si>
  <si>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</si>
  <si>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</si>
  <si>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</si>
  <si>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</si>
  <si>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</si>
  <si>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</si>
  <si>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</si>
  <si>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</si>
  <si>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</si>
  <si>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</si>
  <si>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</si>
  <si>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</si>
  <si>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</si>
  <si>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</si>
  <si>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</si>
  <si>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</si>
  <si>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</si>
  <si>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</si>
  <si>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</si>
  <si>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</si>
  <si>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</si>
  <si>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</si>
  <si>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</si>
  <si>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>предоставляемых за счет субвенций из областного бюджета, на 2019 год</t>
  </si>
  <si>
    <t>РАСЧЕТ индекса налогового потенциала на 2019 год</t>
  </si>
  <si>
    <t>Численность постоянного населения на 01.01.2018, чел.</t>
  </si>
  <si>
    <t>РАСЧЕТ индекса бюджетных расходов на 2019 год</t>
  </si>
  <si>
    <t xml:space="preserve">Доля налога в оценке ФОТ (2019 год) </t>
  </si>
  <si>
    <t>Численность постоянного населения на 1.01.2018,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</si>
</sst>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171" fontId="46" fillId="2" borderId="1" xfId="2" applyNumberFormat="1" applyFont="1" applyFill="1" applyBorder="1"/>
    <xf numFmtId="167" fontId="44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topLeftCell="J4" zoomScale="86" zoomScaleNormal="86" zoomScaleSheetLayoutView="85" workbookViewId="0">
      <selection activeCell="L13" sqref="L13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71">
        <f ca="1">NOW()</f>
        <v>43418.738688078702</v>
      </c>
      <c r="B2" s="171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1.0218259883929202</v>
      </c>
      <c r="K2" s="88"/>
      <c r="L2" s="90">
        <v>683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182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2" t="s">
        <v>1</v>
      </c>
      <c r="B7" s="172" t="s">
        <v>2</v>
      </c>
      <c r="C7" s="173" t="s">
        <v>184</v>
      </c>
      <c r="D7" s="172" t="s">
        <v>3</v>
      </c>
      <c r="E7" s="172" t="s">
        <v>22</v>
      </c>
      <c r="F7" s="172" t="s">
        <v>20</v>
      </c>
      <c r="G7" s="170" t="s">
        <v>23</v>
      </c>
      <c r="H7" s="172" t="s">
        <v>19</v>
      </c>
      <c r="I7" s="172" t="s">
        <v>104</v>
      </c>
      <c r="J7" s="172" t="s">
        <v>21</v>
      </c>
      <c r="K7" s="172" t="s">
        <v>101</v>
      </c>
      <c r="L7" s="10">
        <v>1</v>
      </c>
      <c r="M7" s="172" t="s">
        <v>164</v>
      </c>
      <c r="N7" s="170" t="s">
        <v>103</v>
      </c>
      <c r="O7" s="170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2"/>
      <c r="B8" s="172"/>
      <c r="C8" s="173"/>
      <c r="D8" s="172"/>
      <c r="E8" s="172"/>
      <c r="F8" s="172"/>
      <c r="G8" s="170"/>
      <c r="H8" s="172"/>
      <c r="I8" s="172"/>
      <c r="J8" s="172"/>
      <c r="K8" s="172"/>
      <c r="L8" s="170" t="s">
        <v>102</v>
      </c>
      <c r="M8" s="172"/>
      <c r="N8" s="170"/>
      <c r="O8" s="170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2"/>
      <c r="B9" s="172"/>
      <c r="C9" s="173"/>
      <c r="D9" s="172"/>
      <c r="E9" s="172"/>
      <c r="F9" s="172"/>
      <c r="G9" s="170"/>
      <c r="H9" s="172"/>
      <c r="I9" s="172"/>
      <c r="J9" s="172"/>
      <c r="K9" s="172"/>
      <c r="L9" s="175"/>
      <c r="M9" s="172"/>
      <c r="N9" s="170"/>
      <c r="O9" s="170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6" t="s">
        <v>41</v>
      </c>
      <c r="B10" s="177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8"/>
      <c r="B11" s="179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683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7578</v>
      </c>
      <c r="D12" s="14">
        <f>ИНП2019!U9</f>
        <v>1.5539000000000001</v>
      </c>
      <c r="E12" s="14">
        <f>ИБР2019!AR9</f>
        <v>0.59545999999999999</v>
      </c>
      <c r="F12" s="16">
        <f>ИНП2019!T9</f>
        <v>21465</v>
      </c>
      <c r="G12" s="17">
        <f>F12/E12</f>
        <v>36047.761394552115</v>
      </c>
      <c r="H12" s="19">
        <f>F12/C12</f>
        <v>2.8325415676959622</v>
      </c>
      <c r="I12" s="13">
        <f>D12/E12</f>
        <v>2.6095791488932929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2.6095791488932929</v>
      </c>
      <c r="N12" s="113">
        <f>ROUND((G12+L12),1)</f>
        <v>36047.800000000003</v>
      </c>
      <c r="O12" s="114">
        <f>ROUND(N12/C12,3)</f>
        <v>4.7569999999999997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806</v>
      </c>
      <c r="D13" s="14">
        <f>ИНП2019!U10</f>
        <v>0.22534000000000001</v>
      </c>
      <c r="E13" s="14">
        <f>ИБР2019!AR10</f>
        <v>1.32056</v>
      </c>
      <c r="F13" s="16">
        <f>ИНП2019!T10</f>
        <v>331.08</v>
      </c>
      <c r="G13" s="17">
        <f t="shared" ref="G13:G24" si="0">F13/E13</f>
        <v>250.71181922820622</v>
      </c>
      <c r="H13" s="19">
        <f t="shared" ref="H13:H24" si="1">F13/C13</f>
        <v>0.41076923076923078</v>
      </c>
      <c r="I13" s="13">
        <f t="shared" ref="I13:I24" si="2">D13/E13</f>
        <v>0.17063972859998791</v>
      </c>
      <c r="J13" s="109">
        <f t="shared" ref="J13:J24" si="3">IF(I13&lt;$J$2,$J$2*($J$2-I13)*E13*C13,0)</f>
        <v>925.75214830604568</v>
      </c>
      <c r="K13" s="15">
        <f t="shared" ref="K13:K24" si="4">J13/$J$25</f>
        <v>0.1201673779423411</v>
      </c>
      <c r="L13" s="164">
        <f t="shared" ref="L13:L24" si="5">ROUND($L$11*K13/$K$25,3)</f>
        <v>82.073999999999998</v>
      </c>
      <c r="M13" s="13">
        <f t="shared" ref="M13:M24" si="6">I13+L13/(C13*E13*$J$2)</f>
        <v>0.24610297350206717</v>
      </c>
      <c r="N13" s="113">
        <f t="shared" ref="N13:N24" si="7">ROUND((G13+L13),1)</f>
        <v>332.8</v>
      </c>
      <c r="O13" s="114">
        <f t="shared" ref="O13:O24" si="8">ROUND(N13/C13,3)</f>
        <v>0.41299999999999998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639</v>
      </c>
      <c r="D14" s="14">
        <f>ИНП2019!U11</f>
        <v>0.71826999999999996</v>
      </c>
      <c r="E14" s="14">
        <f>ИБР2019!AR11</f>
        <v>1.43424</v>
      </c>
      <c r="F14" s="16">
        <f>ИНП2019!T11</f>
        <v>836.64</v>
      </c>
      <c r="G14" s="17">
        <f t="shared" si="0"/>
        <v>583.33333333333337</v>
      </c>
      <c r="H14" s="19">
        <f t="shared" si="1"/>
        <v>1.3092957746478873</v>
      </c>
      <c r="I14" s="13">
        <f t="shared" si="2"/>
        <v>0.50080181838464966</v>
      </c>
      <c r="J14" s="109">
        <f t="shared" si="3"/>
        <v>487.92997971023021</v>
      </c>
      <c r="K14" s="15">
        <f t="shared" si="4"/>
        <v>6.3335814438590321E-2</v>
      </c>
      <c r="L14" s="164">
        <f t="shared" si="5"/>
        <v>43.258000000000003</v>
      </c>
      <c r="M14" s="13">
        <f t="shared" si="6"/>
        <v>0.54699382232669647</v>
      </c>
      <c r="N14" s="113">
        <f t="shared" si="7"/>
        <v>626.6</v>
      </c>
      <c r="O14" s="114">
        <f t="shared" si="8"/>
        <v>0.98099999999999998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1249</v>
      </c>
      <c r="D15" s="14">
        <f>ИНП2019!U12</f>
        <v>0.55259000000000003</v>
      </c>
      <c r="E15" s="14">
        <f>ИБР2019!AR12</f>
        <v>1.2498</v>
      </c>
      <c r="F15" s="16">
        <f>ИНП2019!T12</f>
        <v>1258.1100000000001</v>
      </c>
      <c r="G15" s="25">
        <f t="shared" si="0"/>
        <v>1006.6490638502161</v>
      </c>
      <c r="H15" s="26">
        <f t="shared" si="1"/>
        <v>1.0072938350680545</v>
      </c>
      <c r="I15" s="27">
        <f t="shared" si="2"/>
        <v>0.44214274283885424</v>
      </c>
      <c r="J15" s="109">
        <f t="shared" si="3"/>
        <v>924.63568620765898</v>
      </c>
      <c r="K15" s="15">
        <f t="shared" si="4"/>
        <v>0.1200224554345396</v>
      </c>
      <c r="L15" s="164">
        <f t="shared" si="5"/>
        <v>81.974999999999994</v>
      </c>
      <c r="M15" s="13">
        <f t="shared" si="6"/>
        <v>0.49353545324698617</v>
      </c>
      <c r="N15" s="113">
        <f t="shared" si="7"/>
        <v>1088.5999999999999</v>
      </c>
      <c r="O15" s="114">
        <f t="shared" si="8"/>
        <v>0.872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730</v>
      </c>
      <c r="D16" s="14">
        <f>ИНП2019!U13</f>
        <v>0.80840999999999996</v>
      </c>
      <c r="E16" s="14">
        <f>ИБР2019!AR13</f>
        <v>1.3227899999999999</v>
      </c>
      <c r="F16" s="16">
        <f>ИНП2019!T13</f>
        <v>1075.74</v>
      </c>
      <c r="G16" s="25">
        <f t="shared" si="0"/>
        <v>813.23566098927279</v>
      </c>
      <c r="H16" s="26">
        <f t="shared" si="1"/>
        <v>1.4736164383561643</v>
      </c>
      <c r="I16" s="27">
        <f t="shared" si="2"/>
        <v>0.6111400902637607</v>
      </c>
      <c r="J16" s="109">
        <f t="shared" si="3"/>
        <v>405.22898129452972</v>
      </c>
      <c r="K16" s="15">
        <f t="shared" si="4"/>
        <v>5.2600800589567065E-2</v>
      </c>
      <c r="L16" s="164">
        <f t="shared" si="5"/>
        <v>35.926000000000002</v>
      </c>
      <c r="M16" s="13">
        <f t="shared" si="6"/>
        <v>0.64754987894435956</v>
      </c>
      <c r="N16" s="113">
        <f t="shared" si="7"/>
        <v>849.2</v>
      </c>
      <c r="O16" s="114">
        <f t="shared" si="8"/>
        <v>1.163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1013</v>
      </c>
      <c r="D17" s="14">
        <f>ИНП2019!U14</f>
        <v>0.65641000000000005</v>
      </c>
      <c r="E17" s="14">
        <f>ИБР2019!AR14</f>
        <v>1.2498</v>
      </c>
      <c r="F17" s="16">
        <f>ИНП2019!T14</f>
        <v>1212.0900000000001</v>
      </c>
      <c r="G17" s="25">
        <f t="shared" si="0"/>
        <v>969.8271723475757</v>
      </c>
      <c r="H17" s="26">
        <f t="shared" si="1"/>
        <v>1.1965350444225076</v>
      </c>
      <c r="I17" s="27">
        <f t="shared" si="2"/>
        <v>0.52521203392542815</v>
      </c>
      <c r="J17" s="109">
        <f t="shared" si="3"/>
        <v>642.45960808412951</v>
      </c>
      <c r="K17" s="15">
        <f t="shared" si="4"/>
        <v>8.3394552935794425E-2</v>
      </c>
      <c r="L17" s="164">
        <f t="shared" si="5"/>
        <v>56.957999999999998</v>
      </c>
      <c r="M17" s="13">
        <f t="shared" si="6"/>
        <v>0.56923991873348811</v>
      </c>
      <c r="N17" s="113">
        <f t="shared" si="7"/>
        <v>1026.8</v>
      </c>
      <c r="O17" s="114">
        <f t="shared" si="8"/>
        <v>1.014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562</v>
      </c>
      <c r="D18" s="14">
        <f>ИНП2019!U15</f>
        <v>0.54691000000000001</v>
      </c>
      <c r="E18" s="14">
        <f>ИБР2019!AR15</f>
        <v>1.39131</v>
      </c>
      <c r="F18" s="16">
        <f>ИНП2019!T15</f>
        <v>560.28</v>
      </c>
      <c r="G18" s="25">
        <f t="shared" ref="G18:G19" si="9">F18/E18</f>
        <v>402.69961403281798</v>
      </c>
      <c r="H18" s="26">
        <f t="shared" ref="H18:H19" si="10">F18/C18</f>
        <v>0.99693950177935942</v>
      </c>
      <c r="I18" s="27">
        <f t="shared" ref="I18:I19" si="11">D18/E18</f>
        <v>0.39308996557201487</v>
      </c>
      <c r="J18" s="109">
        <f t="shared" ref="J18:J19" si="12">IF(I18&lt;$J$2,$J$2*($J$2-I18)*E18*C18,0)</f>
        <v>502.34896262360382</v>
      </c>
      <c r="K18" s="15">
        <f t="shared" ref="K18:K19" si="13">J18/$J$25</f>
        <v>6.5207472389874621E-2</v>
      </c>
      <c r="L18" s="164">
        <f t="shared" si="5"/>
        <v>44.536999999999999</v>
      </c>
      <c r="M18" s="13">
        <f t="shared" ref="M18:M19" si="14">I18+L18/(C18*E18*$J$2)</f>
        <v>0.44883212556798524</v>
      </c>
      <c r="N18" s="113">
        <f t="shared" ref="N18:N19" si="15">ROUND((G18+L18),1)</f>
        <v>447.2</v>
      </c>
      <c r="O18" s="114">
        <f t="shared" ref="O18:O19" si="16">ROUND(N18/C18,3)</f>
        <v>0.79600000000000004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1440</v>
      </c>
      <c r="D19" s="14">
        <f>ИНП2019!U16</f>
        <v>0.59013000000000004</v>
      </c>
      <c r="E19" s="14">
        <f>ИБР2019!AR16</f>
        <v>1.2857700000000001</v>
      </c>
      <c r="F19" s="16">
        <f>ИНП2019!T16</f>
        <v>1549.04</v>
      </c>
      <c r="G19" s="25">
        <f t="shared" si="9"/>
        <v>1204.7566827659689</v>
      </c>
      <c r="H19" s="26">
        <f t="shared" si="10"/>
        <v>1.0757222222222222</v>
      </c>
      <c r="I19" s="27">
        <f t="shared" si="11"/>
        <v>0.45897011129517723</v>
      </c>
      <c r="J19" s="109">
        <f t="shared" si="12"/>
        <v>1064.8781838187267</v>
      </c>
      <c r="K19" s="15">
        <f t="shared" si="13"/>
        <v>0.13822665106599896</v>
      </c>
      <c r="L19" s="164">
        <f t="shared" si="5"/>
        <v>94.409000000000006</v>
      </c>
      <c r="M19" s="13">
        <f t="shared" si="14"/>
        <v>0.50887127492908879</v>
      </c>
      <c r="N19" s="113">
        <f t="shared" si="15"/>
        <v>1299.2</v>
      </c>
      <c r="O19" s="114">
        <f t="shared" si="16"/>
        <v>0.90200000000000002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698</v>
      </c>
      <c r="D20" s="14">
        <f>ИНП2019!U17</f>
        <v>0.44846000000000003</v>
      </c>
      <c r="E20" s="14">
        <f>ИБР2019!AR17</f>
        <v>1.3486100000000001</v>
      </c>
      <c r="F20" s="16">
        <f>ИНП2019!T17</f>
        <v>570.6</v>
      </c>
      <c r="G20" s="25">
        <f t="shared" si="0"/>
        <v>423.10230533660581</v>
      </c>
      <c r="H20" s="26">
        <f t="shared" si="1"/>
        <v>0.81747851002865335</v>
      </c>
      <c r="I20" s="27">
        <f t="shared" si="2"/>
        <v>0.33253498046136393</v>
      </c>
      <c r="J20" s="109">
        <f t="shared" si="3"/>
        <v>663.01194875708643</v>
      </c>
      <c r="K20" s="15">
        <f t="shared" si="4"/>
        <v>8.6062352188289906E-2</v>
      </c>
      <c r="L20" s="164">
        <f t="shared" si="5"/>
        <v>58.780999999999999</v>
      </c>
      <c r="M20" s="13">
        <f t="shared" si="6"/>
        <v>0.39364581686963723</v>
      </c>
      <c r="N20" s="113">
        <f t="shared" si="7"/>
        <v>481.9</v>
      </c>
      <c r="O20" s="114">
        <f t="shared" si="8"/>
        <v>0.69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615</v>
      </c>
      <c r="D21" s="14">
        <f>ИНП2019!U18</f>
        <v>0.623</v>
      </c>
      <c r="E21" s="14">
        <f>ИБР2019!AR18</f>
        <v>1.41144</v>
      </c>
      <c r="F21" s="16">
        <f>ИНП2019!T18</f>
        <v>698.42</v>
      </c>
      <c r="G21" s="25">
        <f t="shared" si="0"/>
        <v>494.82797710139994</v>
      </c>
      <c r="H21" s="26">
        <f t="shared" si="1"/>
        <v>1.1356422764227641</v>
      </c>
      <c r="I21" s="27">
        <f t="shared" si="2"/>
        <v>0.4413931870996996</v>
      </c>
      <c r="J21" s="109">
        <f t="shared" si="3"/>
        <v>514.83306092836028</v>
      </c>
      <c r="K21" s="15">
        <f t="shared" si="4"/>
        <v>6.6827972393036436E-2</v>
      </c>
      <c r="L21" s="164">
        <f t="shared" si="5"/>
        <v>45.643999999999998</v>
      </c>
      <c r="M21" s="13">
        <f t="shared" si="6"/>
        <v>0.49285312002330478</v>
      </c>
      <c r="N21" s="113">
        <f t="shared" si="7"/>
        <v>540.5</v>
      </c>
      <c r="O21" s="114">
        <f t="shared" si="8"/>
        <v>0.879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594</v>
      </c>
      <c r="D22" s="14">
        <f>ИНП2019!U19</f>
        <v>0.54681999999999997</v>
      </c>
      <c r="E22" s="14">
        <f>ИБР2019!AR19</f>
        <v>1.2991299999999999</v>
      </c>
      <c r="F22" s="16">
        <f>ИНП2019!T19</f>
        <v>592.07999999999993</v>
      </c>
      <c r="G22" s="25">
        <f t="shared" si="0"/>
        <v>455.75115654322508</v>
      </c>
      <c r="H22" s="26">
        <f t="shared" si="1"/>
        <v>0.99676767676767664</v>
      </c>
      <c r="I22" s="27">
        <f t="shared" si="2"/>
        <v>0.42091245679801098</v>
      </c>
      <c r="J22" s="109">
        <f t="shared" si="3"/>
        <v>473.83592478772908</v>
      </c>
      <c r="K22" s="15">
        <f t="shared" si="4"/>
        <v>6.1506333807396153E-2</v>
      </c>
      <c r="L22" s="164">
        <f t="shared" si="5"/>
        <v>42.009</v>
      </c>
      <c r="M22" s="13">
        <f t="shared" si="6"/>
        <v>0.47418781062450555</v>
      </c>
      <c r="N22" s="113">
        <f t="shared" si="7"/>
        <v>497.8</v>
      </c>
      <c r="O22" s="114">
        <f t="shared" si="8"/>
        <v>0.83799999999999997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580</v>
      </c>
      <c r="D23" s="14">
        <f>ИНП2019!U20</f>
        <v>0.50656000000000001</v>
      </c>
      <c r="E23" s="14">
        <f>ИБР2019!AR20</f>
        <v>1.3884399999999999</v>
      </c>
      <c r="F23" s="16">
        <f>ИНП2019!T20</f>
        <v>535.55999999999995</v>
      </c>
      <c r="G23" s="25">
        <f t="shared" si="0"/>
        <v>385.72786724669413</v>
      </c>
      <c r="H23" s="26">
        <f t="shared" si="1"/>
        <v>0.92337931034482745</v>
      </c>
      <c r="I23" s="27">
        <f t="shared" si="2"/>
        <v>0.36484111664890095</v>
      </c>
      <c r="J23" s="109">
        <f t="shared" si="3"/>
        <v>540.61416873141002</v>
      </c>
      <c r="K23" s="15">
        <f t="shared" si="4"/>
        <v>7.0174492442501263E-2</v>
      </c>
      <c r="L23" s="164">
        <f t="shared" si="5"/>
        <v>47.929000000000002</v>
      </c>
      <c r="M23" s="13">
        <f t="shared" si="6"/>
        <v>0.42308714448000539</v>
      </c>
      <c r="N23" s="113">
        <f t="shared" si="7"/>
        <v>433.7</v>
      </c>
      <c r="O23" s="114">
        <f t="shared" si="8"/>
        <v>0.748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663</v>
      </c>
      <c r="D24" s="14">
        <f>ИНП2019!U21</f>
        <v>0.50334999999999996</v>
      </c>
      <c r="E24" s="14">
        <f>ИБР2019!AR21</f>
        <v>1.2991299999999999</v>
      </c>
      <c r="F24" s="16">
        <f>ИНП2019!T21</f>
        <v>608.33000000000004</v>
      </c>
      <c r="G24" s="25">
        <f t="shared" si="0"/>
        <v>468.25952752996244</v>
      </c>
      <c r="H24" s="26">
        <f t="shared" si="1"/>
        <v>0.91754147812971354</v>
      </c>
      <c r="I24" s="27">
        <f t="shared" si="2"/>
        <v>0.38745160222610514</v>
      </c>
      <c r="J24" s="109">
        <f t="shared" si="3"/>
        <v>558.32711990584255</v>
      </c>
      <c r="K24" s="15">
        <f t="shared" si="4"/>
        <v>7.247372437207017E-2</v>
      </c>
      <c r="L24" s="164">
        <f t="shared" si="5"/>
        <v>49.5</v>
      </c>
      <c r="M24" s="13">
        <f t="shared" si="6"/>
        <v>0.4436937781758476</v>
      </c>
      <c r="N24" s="113">
        <f t="shared" si="7"/>
        <v>517.79999999999995</v>
      </c>
      <c r="O24" s="114">
        <f t="shared" si="8"/>
        <v>0.78100000000000003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74" t="s">
        <v>0</v>
      </c>
      <c r="B25" s="174"/>
      <c r="C25" s="134">
        <f>SUM(C12:C24)</f>
        <v>17167</v>
      </c>
      <c r="D25" s="112">
        <f>ИНП2019!U22</f>
        <v>1</v>
      </c>
      <c r="E25" s="112">
        <f>ИБР2019!AR22</f>
        <v>1</v>
      </c>
      <c r="F25" s="21">
        <f>SUM(F12:F24)</f>
        <v>31292.970000000005</v>
      </c>
      <c r="G25" s="21">
        <f>SUM(G12:G24)</f>
        <v>43506.643574857393</v>
      </c>
      <c r="H25" s="23">
        <f>AVERAGE(H12:H24)</f>
        <v>1.1610402205119248</v>
      </c>
      <c r="I25" s="22">
        <f>AVERAGE(I12:I24)</f>
        <v>0.58913146023132668</v>
      </c>
      <c r="J25" s="21">
        <f>SUM(J12:J24)</f>
        <v>7703.8557731553528</v>
      </c>
      <c r="K25" s="111">
        <f>SUM(K12:K24)</f>
        <v>1</v>
      </c>
      <c r="L25" s="165">
        <f>SUM(L12:L24)</f>
        <v>683</v>
      </c>
      <c r="M25" s="22">
        <f>AVERAGE(M12:M24)</f>
        <v>0.63832094356286651</v>
      </c>
      <c r="N25" s="21">
        <f>SUM(N12:N24)</f>
        <v>44189.9</v>
      </c>
      <c r="O25" s="22">
        <f>AVERAGE(O12:O24)</f>
        <v>1.1410769230769229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A25:B25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A9" sqref="A9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183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3" t="s">
        <v>184</v>
      </c>
      <c r="D4" s="181" t="s">
        <v>6</v>
      </c>
      <c r="E4" s="181"/>
      <c r="F4" s="181"/>
      <c r="G4" s="181"/>
      <c r="H4" s="181" t="s">
        <v>46</v>
      </c>
      <c r="I4" s="181"/>
      <c r="J4" s="181"/>
      <c r="K4" s="181"/>
      <c r="L4" s="181" t="s">
        <v>16</v>
      </c>
      <c r="M4" s="181"/>
      <c r="N4" s="181"/>
      <c r="O4" s="181"/>
      <c r="P4" s="181" t="s">
        <v>50</v>
      </c>
      <c r="Q4" s="181"/>
      <c r="R4" s="181"/>
      <c r="S4" s="181"/>
      <c r="T4" s="181" t="s">
        <v>14</v>
      </c>
      <c r="U4" s="181" t="s">
        <v>11</v>
      </c>
    </row>
    <row r="5" spans="1:23" ht="13.15" customHeight="1" x14ac:dyDescent="0.2">
      <c r="A5" s="172"/>
      <c r="B5" s="172"/>
      <c r="C5" s="173"/>
      <c r="D5" s="180" t="s">
        <v>33</v>
      </c>
      <c r="E5" s="180" t="s">
        <v>186</v>
      </c>
      <c r="F5" s="180" t="s">
        <v>44</v>
      </c>
      <c r="G5" s="181" t="s">
        <v>15</v>
      </c>
      <c r="H5" s="180" t="s">
        <v>47</v>
      </c>
      <c r="I5" s="172" t="s">
        <v>52</v>
      </c>
      <c r="J5" s="180" t="s">
        <v>44</v>
      </c>
      <c r="K5" s="181" t="s">
        <v>15</v>
      </c>
      <c r="L5" s="180" t="s">
        <v>48</v>
      </c>
      <c r="M5" s="180" t="s">
        <v>35</v>
      </c>
      <c r="N5" s="180" t="s">
        <v>49</v>
      </c>
      <c r="O5" s="181" t="s">
        <v>15</v>
      </c>
      <c r="P5" s="185" t="s">
        <v>47</v>
      </c>
      <c r="Q5" s="172" t="s">
        <v>51</v>
      </c>
      <c r="R5" s="180" t="s">
        <v>49</v>
      </c>
      <c r="S5" s="181" t="s">
        <v>15</v>
      </c>
      <c r="T5" s="181"/>
      <c r="U5" s="181"/>
    </row>
    <row r="6" spans="1:23" ht="84" customHeight="1" x14ac:dyDescent="0.2">
      <c r="A6" s="172"/>
      <c r="B6" s="172"/>
      <c r="C6" s="173"/>
      <c r="D6" s="180"/>
      <c r="E6" s="180"/>
      <c r="F6" s="180"/>
      <c r="G6" s="181"/>
      <c r="H6" s="180"/>
      <c r="I6" s="172"/>
      <c r="J6" s="180"/>
      <c r="K6" s="181"/>
      <c r="L6" s="180"/>
      <c r="M6" s="180"/>
      <c r="N6" s="180"/>
      <c r="O6" s="181"/>
      <c r="P6" s="185"/>
      <c r="Q6" s="172"/>
      <c r="R6" s="180"/>
      <c r="S6" s="181"/>
      <c r="T6" s="181"/>
      <c r="U6" s="181"/>
    </row>
    <row r="7" spans="1:23" s="24" customFormat="1" ht="28.5" customHeight="1" x14ac:dyDescent="0.2">
      <c r="A7" s="184" t="s">
        <v>41</v>
      </c>
      <c r="B7" s="184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3"/>
      <c r="B8" s="183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7578</v>
      </c>
      <c r="D9" s="155">
        <v>421600</v>
      </c>
      <c r="E9" s="166">
        <v>0.122</v>
      </c>
      <c r="F9" s="31">
        <v>0.1</v>
      </c>
      <c r="G9" s="32">
        <f>ROUND(D9*F9*E9,0)</f>
        <v>5144</v>
      </c>
      <c r="H9" s="38">
        <v>6126</v>
      </c>
      <c r="I9" s="38"/>
      <c r="J9" s="31">
        <v>1</v>
      </c>
      <c r="K9" s="32">
        <f>ROUND((H9+I9)*J9,0)</f>
        <v>6126</v>
      </c>
      <c r="L9" s="38">
        <v>4351</v>
      </c>
      <c r="M9" s="31">
        <v>0.06</v>
      </c>
      <c r="N9" s="31">
        <v>0.5</v>
      </c>
      <c r="O9" s="32">
        <f>ROUND(L9*M9*N9,0)</f>
        <v>131</v>
      </c>
      <c r="P9" s="38">
        <v>10000</v>
      </c>
      <c r="Q9" s="169">
        <v>63.6</v>
      </c>
      <c r="R9" s="31">
        <v>1</v>
      </c>
      <c r="S9" s="32">
        <f>ROUND((P9+Q9)*R9,0)</f>
        <v>10064</v>
      </c>
      <c r="T9" s="32">
        <f>G9+K9+O9+S9</f>
        <v>21465</v>
      </c>
      <c r="U9" s="33">
        <f t="shared" ref="U9:U17" si="0">ROUND((T9/C9)/($T$22/$C$22),5)</f>
        <v>1.5539000000000001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806</v>
      </c>
      <c r="D10" s="155">
        <v>300</v>
      </c>
      <c r="E10" s="166">
        <v>0.51300000000000001</v>
      </c>
      <c r="F10" s="31">
        <v>0.02</v>
      </c>
      <c r="G10" s="32">
        <f t="shared" ref="G10:G21" si="1">ROUND(D10*F10*E10,2)</f>
        <v>3.08</v>
      </c>
      <c r="H10" s="38">
        <v>101</v>
      </c>
      <c r="I10" s="38"/>
      <c r="J10" s="31">
        <v>1</v>
      </c>
      <c r="K10" s="32">
        <f t="shared" ref="K10:K21" si="2">ROUND((H10+I10)*J10,0)</f>
        <v>101</v>
      </c>
      <c r="L10" s="38"/>
      <c r="M10" s="31">
        <v>0.06</v>
      </c>
      <c r="N10" s="31">
        <v>0.3</v>
      </c>
      <c r="O10" s="32">
        <f t="shared" ref="O10:O21" si="3">ROUND(L10*M10*N10,0)</f>
        <v>0</v>
      </c>
      <c r="P10" s="38">
        <v>224</v>
      </c>
      <c r="Q10" s="169">
        <v>3</v>
      </c>
      <c r="R10" s="31">
        <v>1</v>
      </c>
      <c r="S10" s="32">
        <f t="shared" ref="S10:S21" si="4">ROUND((P10+Q10)*R10,0)</f>
        <v>227</v>
      </c>
      <c r="T10" s="32">
        <f t="shared" ref="T10:T21" si="5">G10+K10+O10+S10</f>
        <v>331.08</v>
      </c>
      <c r="U10" s="33">
        <f t="shared" si="0"/>
        <v>0.22534000000000001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639</v>
      </c>
      <c r="D11" s="155">
        <v>2600</v>
      </c>
      <c r="E11" s="166">
        <v>0.56999999999999995</v>
      </c>
      <c r="F11" s="31">
        <v>0.02</v>
      </c>
      <c r="G11" s="32">
        <f t="shared" si="1"/>
        <v>29.64</v>
      </c>
      <c r="H11" s="38">
        <v>33</v>
      </c>
      <c r="I11" s="38"/>
      <c r="J11" s="31">
        <v>1</v>
      </c>
      <c r="K11" s="32">
        <f t="shared" si="2"/>
        <v>33</v>
      </c>
      <c r="L11" s="38"/>
      <c r="M11" s="31">
        <v>0.06</v>
      </c>
      <c r="N11" s="31">
        <v>0.3</v>
      </c>
      <c r="O11" s="32">
        <f t="shared" si="3"/>
        <v>0</v>
      </c>
      <c r="P11" s="38">
        <v>767</v>
      </c>
      <c r="Q11" s="169">
        <v>6.8</v>
      </c>
      <c r="R11" s="31">
        <v>1</v>
      </c>
      <c r="S11" s="32">
        <f t="shared" si="4"/>
        <v>774</v>
      </c>
      <c r="T11" s="32">
        <f t="shared" si="5"/>
        <v>836.64</v>
      </c>
      <c r="U11" s="33">
        <f t="shared" si="0"/>
        <v>0.71826999999999996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1249</v>
      </c>
      <c r="D12" s="155">
        <v>5300</v>
      </c>
      <c r="E12" s="166">
        <v>0.71799999999999997</v>
      </c>
      <c r="F12" s="31">
        <v>0.02</v>
      </c>
      <c r="G12" s="32">
        <f t="shared" si="1"/>
        <v>76.11</v>
      </c>
      <c r="H12" s="38">
        <v>161</v>
      </c>
      <c r="I12" s="38"/>
      <c r="J12" s="31">
        <v>1</v>
      </c>
      <c r="K12" s="32">
        <f t="shared" si="2"/>
        <v>161</v>
      </c>
      <c r="L12" s="38"/>
      <c r="M12" s="31">
        <v>0.06</v>
      </c>
      <c r="N12" s="31">
        <v>0.3</v>
      </c>
      <c r="O12" s="32">
        <f t="shared" si="3"/>
        <v>0</v>
      </c>
      <c r="P12" s="38">
        <v>1014</v>
      </c>
      <c r="Q12" s="169">
        <v>6.8</v>
      </c>
      <c r="R12" s="31">
        <v>1</v>
      </c>
      <c r="S12" s="32">
        <f t="shared" si="4"/>
        <v>1021</v>
      </c>
      <c r="T12" s="32">
        <f t="shared" si="5"/>
        <v>1258.1100000000001</v>
      </c>
      <c r="U12" s="33">
        <f t="shared" si="0"/>
        <v>0.55259000000000003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730</v>
      </c>
      <c r="D13" s="155">
        <v>4700</v>
      </c>
      <c r="E13" s="166">
        <v>0.44400000000000001</v>
      </c>
      <c r="F13" s="31">
        <v>0.02</v>
      </c>
      <c r="G13" s="32">
        <f t="shared" si="1"/>
        <v>41.74</v>
      </c>
      <c r="H13" s="38">
        <v>51</v>
      </c>
      <c r="I13" s="38"/>
      <c r="J13" s="31">
        <v>1</v>
      </c>
      <c r="K13" s="32">
        <f t="shared" si="2"/>
        <v>51</v>
      </c>
      <c r="L13" s="38">
        <v>727</v>
      </c>
      <c r="M13" s="31">
        <v>0.06</v>
      </c>
      <c r="N13" s="31">
        <v>0.3</v>
      </c>
      <c r="O13" s="32">
        <f t="shared" si="3"/>
        <v>13</v>
      </c>
      <c r="P13" s="38">
        <v>958</v>
      </c>
      <c r="Q13" s="169">
        <v>11.5</v>
      </c>
      <c r="R13" s="31">
        <v>1</v>
      </c>
      <c r="S13" s="32">
        <f t="shared" si="4"/>
        <v>970</v>
      </c>
      <c r="T13" s="32">
        <f t="shared" si="5"/>
        <v>1075.74</v>
      </c>
      <c r="U13" s="33">
        <f t="shared" si="0"/>
        <v>0.80840999999999996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1013</v>
      </c>
      <c r="D14" s="155">
        <v>5200</v>
      </c>
      <c r="E14" s="166">
        <v>0.59699999999999998</v>
      </c>
      <c r="F14" s="31">
        <v>0.02</v>
      </c>
      <c r="G14" s="32">
        <f t="shared" si="1"/>
        <v>62.09</v>
      </c>
      <c r="H14" s="38">
        <v>143</v>
      </c>
      <c r="I14" s="38"/>
      <c r="J14" s="31">
        <v>1</v>
      </c>
      <c r="K14" s="32">
        <f t="shared" si="2"/>
        <v>143</v>
      </c>
      <c r="L14" s="38">
        <v>10165</v>
      </c>
      <c r="M14" s="31">
        <v>0.06</v>
      </c>
      <c r="N14" s="31">
        <v>0.3</v>
      </c>
      <c r="O14" s="32">
        <f t="shared" si="3"/>
        <v>183</v>
      </c>
      <c r="P14" s="38">
        <v>820</v>
      </c>
      <c r="Q14" s="169">
        <v>4.3</v>
      </c>
      <c r="R14" s="31">
        <v>1</v>
      </c>
      <c r="S14" s="32">
        <f t="shared" si="4"/>
        <v>824</v>
      </c>
      <c r="T14" s="32">
        <f t="shared" si="5"/>
        <v>1212.0900000000001</v>
      </c>
      <c r="U14" s="33">
        <f t="shared" si="0"/>
        <v>0.65641000000000005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562</v>
      </c>
      <c r="D15" s="155">
        <v>1000</v>
      </c>
      <c r="E15" s="166">
        <v>0.71399999999999997</v>
      </c>
      <c r="F15" s="31">
        <v>0.02</v>
      </c>
      <c r="G15" s="32">
        <f t="shared" si="1"/>
        <v>14.28</v>
      </c>
      <c r="H15" s="38">
        <v>21</v>
      </c>
      <c r="I15" s="38"/>
      <c r="J15" s="31">
        <v>1</v>
      </c>
      <c r="K15" s="32">
        <f t="shared" si="2"/>
        <v>21</v>
      </c>
      <c r="L15" s="38"/>
      <c r="M15" s="31">
        <v>0.06</v>
      </c>
      <c r="N15" s="31">
        <v>0.3</v>
      </c>
      <c r="O15" s="32">
        <f t="shared" si="3"/>
        <v>0</v>
      </c>
      <c r="P15" s="38">
        <v>521</v>
      </c>
      <c r="Q15" s="169">
        <v>3.7</v>
      </c>
      <c r="R15" s="31">
        <v>1</v>
      </c>
      <c r="S15" s="32">
        <f t="shared" si="4"/>
        <v>525</v>
      </c>
      <c r="T15" s="32">
        <f t="shared" si="5"/>
        <v>560.28</v>
      </c>
      <c r="U15" s="33">
        <f t="shared" si="0"/>
        <v>0.54691000000000001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1440</v>
      </c>
      <c r="D16" s="155">
        <v>7300</v>
      </c>
      <c r="E16" s="166">
        <v>0.51400000000000001</v>
      </c>
      <c r="F16" s="31">
        <v>0.02</v>
      </c>
      <c r="G16" s="32">
        <f t="shared" si="1"/>
        <v>75.040000000000006</v>
      </c>
      <c r="H16" s="38">
        <v>74</v>
      </c>
      <c r="I16" s="38"/>
      <c r="J16" s="31">
        <v>1</v>
      </c>
      <c r="K16" s="32">
        <f t="shared" si="2"/>
        <v>74</v>
      </c>
      <c r="L16" s="38"/>
      <c r="M16" s="31">
        <v>0.06</v>
      </c>
      <c r="N16" s="31">
        <v>0.3</v>
      </c>
      <c r="O16" s="32">
        <f t="shared" si="3"/>
        <v>0</v>
      </c>
      <c r="P16" s="38">
        <v>1394</v>
      </c>
      <c r="Q16" s="169">
        <v>6.2</v>
      </c>
      <c r="R16" s="31">
        <v>1</v>
      </c>
      <c r="S16" s="32">
        <f t="shared" si="4"/>
        <v>1400</v>
      </c>
      <c r="T16" s="32">
        <f t="shared" si="5"/>
        <v>1549.04</v>
      </c>
      <c r="U16" s="33">
        <f t="shared" si="0"/>
        <v>0.59013000000000004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698</v>
      </c>
      <c r="D17" s="155">
        <v>700</v>
      </c>
      <c r="E17" s="166">
        <v>0.54300000000000004</v>
      </c>
      <c r="F17" s="31">
        <v>0.02</v>
      </c>
      <c r="G17" s="32">
        <f t="shared" si="1"/>
        <v>7.6</v>
      </c>
      <c r="H17" s="38">
        <v>25</v>
      </c>
      <c r="I17" s="38"/>
      <c r="J17" s="31">
        <v>1</v>
      </c>
      <c r="K17" s="32">
        <f t="shared" si="2"/>
        <v>25</v>
      </c>
      <c r="L17" s="38">
        <v>44</v>
      </c>
      <c r="M17" s="31">
        <v>0.06</v>
      </c>
      <c r="N17" s="31">
        <v>0.3</v>
      </c>
      <c r="O17" s="32">
        <f t="shared" si="3"/>
        <v>1</v>
      </c>
      <c r="P17" s="38">
        <v>534</v>
      </c>
      <c r="Q17" s="169">
        <v>2.5</v>
      </c>
      <c r="R17" s="31">
        <v>1</v>
      </c>
      <c r="S17" s="32">
        <f t="shared" si="4"/>
        <v>537</v>
      </c>
      <c r="T17" s="32">
        <f t="shared" si="5"/>
        <v>570.6</v>
      </c>
      <c r="U17" s="33">
        <f t="shared" si="0"/>
        <v>0.44846000000000003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615</v>
      </c>
      <c r="D18" s="155">
        <v>600</v>
      </c>
      <c r="E18" s="166">
        <v>0.86799999999999999</v>
      </c>
      <c r="F18" s="31">
        <v>0.02</v>
      </c>
      <c r="G18" s="32">
        <f t="shared" ref="G18:G19" si="6">ROUND(D18*F18*E18,2)</f>
        <v>10.42</v>
      </c>
      <c r="H18" s="38">
        <v>37</v>
      </c>
      <c r="I18" s="38"/>
      <c r="J18" s="31">
        <v>1</v>
      </c>
      <c r="K18" s="32">
        <f t="shared" ref="K18:K19" si="7">ROUND((H18+I18)*J18,0)</f>
        <v>37</v>
      </c>
      <c r="L18" s="38"/>
      <c r="M18" s="31">
        <v>0.06</v>
      </c>
      <c r="N18" s="31">
        <v>0.3</v>
      </c>
      <c r="O18" s="32">
        <f t="shared" ref="O18:O19" si="8">ROUND(L18*M18*N18,0)</f>
        <v>0</v>
      </c>
      <c r="P18" s="38">
        <v>648</v>
      </c>
      <c r="Q18" s="169">
        <v>2.8</v>
      </c>
      <c r="R18" s="31">
        <v>1</v>
      </c>
      <c r="S18" s="32">
        <f t="shared" ref="S18:S19" si="9">ROUND((P18+Q18)*R18,0)</f>
        <v>651</v>
      </c>
      <c r="T18" s="32">
        <f t="shared" ref="T18:T19" si="10">G18+K18+O18+S18</f>
        <v>698.42</v>
      </c>
      <c r="U18" s="33">
        <f t="shared" ref="U18:U19" si="11">ROUND((T18/C18)/($T$22/$C$22),5)</f>
        <v>0.623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594</v>
      </c>
      <c r="D19" s="155">
        <v>1100</v>
      </c>
      <c r="E19" s="166">
        <v>0.82199999999999995</v>
      </c>
      <c r="F19" s="31">
        <v>0.02</v>
      </c>
      <c r="G19" s="32">
        <f t="shared" si="6"/>
        <v>18.079999999999998</v>
      </c>
      <c r="H19" s="38">
        <v>129</v>
      </c>
      <c r="I19" s="38"/>
      <c r="J19" s="31">
        <v>1</v>
      </c>
      <c r="K19" s="32">
        <f t="shared" si="7"/>
        <v>129</v>
      </c>
      <c r="L19" s="38"/>
      <c r="M19" s="31">
        <v>0.06</v>
      </c>
      <c r="N19" s="31">
        <v>0.3</v>
      </c>
      <c r="O19" s="32">
        <f t="shared" si="8"/>
        <v>0</v>
      </c>
      <c r="P19" s="38">
        <v>441</v>
      </c>
      <c r="Q19" s="169">
        <v>4.2</v>
      </c>
      <c r="R19" s="31">
        <v>1</v>
      </c>
      <c r="S19" s="32">
        <f t="shared" si="9"/>
        <v>445</v>
      </c>
      <c r="T19" s="32">
        <f t="shared" si="10"/>
        <v>592.07999999999993</v>
      </c>
      <c r="U19" s="33">
        <f t="shared" si="11"/>
        <v>0.54681999999999997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580</v>
      </c>
      <c r="D20" s="155">
        <v>1300</v>
      </c>
      <c r="E20" s="166">
        <v>0.214</v>
      </c>
      <c r="F20" s="31">
        <v>0.02</v>
      </c>
      <c r="G20" s="32">
        <f t="shared" si="1"/>
        <v>5.56</v>
      </c>
      <c r="H20" s="38">
        <v>17</v>
      </c>
      <c r="I20" s="38"/>
      <c r="J20" s="31">
        <v>1</v>
      </c>
      <c r="K20" s="32">
        <f t="shared" si="2"/>
        <v>17</v>
      </c>
      <c r="L20" s="38">
        <v>307</v>
      </c>
      <c r="M20" s="31">
        <v>0.06</v>
      </c>
      <c r="N20" s="31">
        <v>0.3</v>
      </c>
      <c r="O20" s="32">
        <f t="shared" si="3"/>
        <v>6</v>
      </c>
      <c r="P20" s="38">
        <v>500</v>
      </c>
      <c r="Q20" s="169">
        <v>7.1</v>
      </c>
      <c r="R20" s="31">
        <v>1</v>
      </c>
      <c r="S20" s="32">
        <f t="shared" si="4"/>
        <v>507</v>
      </c>
      <c r="T20" s="32">
        <f t="shared" si="5"/>
        <v>535.55999999999995</v>
      </c>
      <c r="U20" s="33">
        <f>ROUND((T20/C20)/($T$22/$C$22),5)</f>
        <v>0.50656000000000001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663</v>
      </c>
      <c r="D21" s="155">
        <v>1300</v>
      </c>
      <c r="E21" s="166">
        <v>0.628</v>
      </c>
      <c r="F21" s="31">
        <v>0.02</v>
      </c>
      <c r="G21" s="32">
        <f t="shared" si="1"/>
        <v>16.329999999999998</v>
      </c>
      <c r="H21" s="38">
        <v>52</v>
      </c>
      <c r="I21" s="38"/>
      <c r="J21" s="31">
        <v>1</v>
      </c>
      <c r="K21" s="32">
        <f t="shared" si="2"/>
        <v>52</v>
      </c>
      <c r="L21" s="38"/>
      <c r="M21" s="31">
        <v>0.06</v>
      </c>
      <c r="N21" s="31">
        <v>0.3</v>
      </c>
      <c r="O21" s="32">
        <f t="shared" si="3"/>
        <v>0</v>
      </c>
      <c r="P21" s="38">
        <v>535</v>
      </c>
      <c r="Q21" s="169">
        <v>4.9000000000000004</v>
      </c>
      <c r="R21" s="31">
        <v>1</v>
      </c>
      <c r="S21" s="32">
        <f t="shared" si="4"/>
        <v>540</v>
      </c>
      <c r="T21" s="32">
        <f t="shared" si="5"/>
        <v>608.33000000000004</v>
      </c>
      <c r="U21" s="33">
        <f>ROUND((T21/C21)/($T$22/$C$22),5)</f>
        <v>0.50334999999999996</v>
      </c>
      <c r="V21" s="34"/>
      <c r="W21" s="35"/>
    </row>
    <row r="22" spans="1:23" s="97" customFormat="1" ht="22.5" customHeight="1" x14ac:dyDescent="0.25">
      <c r="A22" s="182" t="s">
        <v>0</v>
      </c>
      <c r="B22" s="182"/>
      <c r="C22" s="156">
        <f>SUM(C9:C21)</f>
        <v>17167</v>
      </c>
      <c r="D22" s="156">
        <f>SUM(D9:D21)</f>
        <v>453000</v>
      </c>
      <c r="E22" s="167" t="s">
        <v>7</v>
      </c>
      <c r="F22" s="157" t="s">
        <v>7</v>
      </c>
      <c r="G22" s="156">
        <f>SUM(G9:G21)</f>
        <v>5503.97</v>
      </c>
      <c r="H22" s="156">
        <f>SUM(H9:H21)</f>
        <v>6970</v>
      </c>
      <c r="I22" s="156">
        <f>SUM(I9:I21)</f>
        <v>0</v>
      </c>
      <c r="J22" s="157" t="s">
        <v>7</v>
      </c>
      <c r="K22" s="156">
        <f>SUM(K9:K21)</f>
        <v>6970</v>
      </c>
      <c r="L22" s="156">
        <f>SUM(L9:L21)</f>
        <v>15594</v>
      </c>
      <c r="M22" s="157" t="s">
        <v>7</v>
      </c>
      <c r="N22" s="157" t="s">
        <v>7</v>
      </c>
      <c r="O22" s="156">
        <f>SUM(O9:O21)</f>
        <v>334</v>
      </c>
      <c r="P22" s="156">
        <f>SUM(P9:P21)</f>
        <v>18356</v>
      </c>
      <c r="Q22" s="168">
        <f>SUM(Q9:Q21)</f>
        <v>127.39999999999999</v>
      </c>
      <c r="R22" s="157" t="s">
        <v>7</v>
      </c>
      <c r="S22" s="156">
        <f>SUM(S9:S21)</f>
        <v>18485</v>
      </c>
      <c r="T22" s="156">
        <f>SUM(T9:T21)</f>
        <v>31292.970000000005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abSelected="1" topLeftCell="A4" zoomScale="115" zoomScaleNormal="115" zoomScaleSheetLayoutView="70" workbookViewId="0">
      <pane xSplit="3" topLeftCell="D1" activePane="topRight" state="frozenSplit"/>
      <selection activeCell="A4" sqref="A4"/>
      <selection pane="topRight" activeCell="D4" sqref="D4:D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.6640625" style="1" customWidth="1"/>
    <col min="6" max="6" width="0.1640625" style="1" hidden="1" customWidth="1"/>
    <col min="7" max="7" width="16.83203125" style="1" hidden="1" customWidth="1"/>
    <col min="8" max="8" width="0.33203125" style="1" customWidth="1"/>
    <col min="9" max="9" width="24.1640625" style="1" hidden="1" customWidth="1"/>
    <col min="10" max="10" width="16.83203125" style="1" hidden="1" customWidth="1"/>
    <col min="11" max="11" width="24.1640625" style="1" customWidth="1"/>
    <col min="12" max="12" width="0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0.1640625" style="1" customWidth="1"/>
    <col min="18" max="18" width="16.83203125" style="1" hidden="1" customWidth="1"/>
    <col min="19" max="20" width="16.83203125" style="1" customWidth="1"/>
    <col min="21" max="21" width="0.1640625" style="1" customWidth="1"/>
    <col min="22" max="22" width="16.83203125" style="1" hidden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185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2" t="s">
        <v>1</v>
      </c>
      <c r="B4" s="172" t="s">
        <v>2</v>
      </c>
      <c r="C4" s="186" t="s">
        <v>187</v>
      </c>
      <c r="D4" s="173" t="s">
        <v>156</v>
      </c>
      <c r="E4" s="186" t="s">
        <v>117</v>
      </c>
      <c r="F4" s="173" t="s">
        <v>118</v>
      </c>
      <c r="G4" s="173" t="s">
        <v>120</v>
      </c>
      <c r="H4" s="173" t="s">
        <v>157</v>
      </c>
      <c r="I4" s="186" t="s">
        <v>119</v>
      </c>
      <c r="J4" s="173" t="s">
        <v>121</v>
      </c>
      <c r="K4" s="173" t="s">
        <v>158</v>
      </c>
      <c r="L4" s="186" t="s">
        <v>123</v>
      </c>
      <c r="M4" s="173" t="s">
        <v>156</v>
      </c>
      <c r="N4" s="186" t="s">
        <v>95</v>
      </c>
      <c r="O4" s="173" t="s">
        <v>156</v>
      </c>
      <c r="P4" s="186" t="s">
        <v>122</v>
      </c>
      <c r="Q4" s="173" t="s">
        <v>156</v>
      </c>
      <c r="R4" s="186" t="s">
        <v>124</v>
      </c>
      <c r="S4" s="173" t="s">
        <v>156</v>
      </c>
      <c r="T4" s="186" t="s">
        <v>62</v>
      </c>
      <c r="U4" s="173" t="s">
        <v>156</v>
      </c>
      <c r="V4" s="186" t="s">
        <v>63</v>
      </c>
      <c r="W4" s="173" t="s">
        <v>156</v>
      </c>
      <c r="X4" s="186" t="s">
        <v>125</v>
      </c>
      <c r="Y4" s="173" t="s">
        <v>156</v>
      </c>
      <c r="Z4" s="186" t="s">
        <v>126</v>
      </c>
      <c r="AA4" s="173" t="s">
        <v>156</v>
      </c>
      <c r="AB4" s="186" t="s">
        <v>127</v>
      </c>
      <c r="AC4" s="173" t="s">
        <v>156</v>
      </c>
      <c r="AD4" s="186" t="s">
        <v>128</v>
      </c>
      <c r="AE4" s="186" t="s">
        <v>129</v>
      </c>
      <c r="AF4" s="186" t="s">
        <v>130</v>
      </c>
      <c r="AG4" s="173" t="s">
        <v>132</v>
      </c>
      <c r="AH4" s="173" t="s">
        <v>159</v>
      </c>
      <c r="AI4" s="186" t="s">
        <v>131</v>
      </c>
      <c r="AJ4" s="173" t="s">
        <v>136</v>
      </c>
      <c r="AK4" s="173" t="s">
        <v>64</v>
      </c>
      <c r="AL4" s="186" t="s">
        <v>133</v>
      </c>
      <c r="AM4" s="173" t="s">
        <v>135</v>
      </c>
      <c r="AN4" s="173" t="s">
        <v>160</v>
      </c>
      <c r="AO4" s="186" t="s">
        <v>134</v>
      </c>
      <c r="AP4" s="186" t="s">
        <v>65</v>
      </c>
      <c r="AQ4" s="186" t="s">
        <v>10</v>
      </c>
      <c r="AR4" s="186" t="s">
        <v>36</v>
      </c>
    </row>
    <row r="5" spans="1:52" ht="13.15" customHeight="1" x14ac:dyDescent="0.2">
      <c r="A5" s="172"/>
      <c r="B5" s="187"/>
      <c r="C5" s="186"/>
      <c r="D5" s="173"/>
      <c r="E5" s="186"/>
      <c r="F5" s="173"/>
      <c r="G5" s="173"/>
      <c r="H5" s="173"/>
      <c r="I5" s="186"/>
      <c r="J5" s="173"/>
      <c r="K5" s="173"/>
      <c r="L5" s="186"/>
      <c r="M5" s="173"/>
      <c r="N5" s="186"/>
      <c r="O5" s="173"/>
      <c r="P5" s="186"/>
      <c r="Q5" s="173"/>
      <c r="R5" s="186"/>
      <c r="S5" s="173"/>
      <c r="T5" s="186"/>
      <c r="U5" s="173"/>
      <c r="V5" s="186"/>
      <c r="W5" s="173"/>
      <c r="X5" s="186"/>
      <c r="Y5" s="173"/>
      <c r="Z5" s="186"/>
      <c r="AA5" s="173"/>
      <c r="AB5" s="186"/>
      <c r="AC5" s="173"/>
      <c r="AD5" s="186"/>
      <c r="AE5" s="186"/>
      <c r="AF5" s="186"/>
      <c r="AG5" s="173"/>
      <c r="AH5" s="173"/>
      <c r="AI5" s="186"/>
      <c r="AJ5" s="173"/>
      <c r="AK5" s="173"/>
      <c r="AL5" s="186"/>
      <c r="AM5" s="173"/>
      <c r="AN5" s="173"/>
      <c r="AO5" s="186"/>
      <c r="AP5" s="186"/>
      <c r="AQ5" s="186"/>
      <c r="AR5" s="186"/>
    </row>
    <row r="6" spans="1:52" ht="152.25" customHeight="1" x14ac:dyDescent="0.2">
      <c r="A6" s="172"/>
      <c r="B6" s="172"/>
      <c r="C6" s="186"/>
      <c r="D6" s="173"/>
      <c r="E6" s="186"/>
      <c r="F6" s="173"/>
      <c r="G6" s="173"/>
      <c r="H6" s="173"/>
      <c r="I6" s="186"/>
      <c r="J6" s="173"/>
      <c r="K6" s="173"/>
      <c r="L6" s="186"/>
      <c r="M6" s="173"/>
      <c r="N6" s="186"/>
      <c r="O6" s="173"/>
      <c r="P6" s="186"/>
      <c r="Q6" s="173"/>
      <c r="R6" s="186"/>
      <c r="S6" s="173"/>
      <c r="T6" s="186"/>
      <c r="U6" s="173"/>
      <c r="V6" s="186"/>
      <c r="W6" s="173"/>
      <c r="X6" s="186"/>
      <c r="Y6" s="173"/>
      <c r="Z6" s="186"/>
      <c r="AA6" s="173"/>
      <c r="AB6" s="186"/>
      <c r="AC6" s="173"/>
      <c r="AD6" s="186"/>
      <c r="AE6" s="186"/>
      <c r="AF6" s="186"/>
      <c r="AG6" s="173"/>
      <c r="AH6" s="173"/>
      <c r="AI6" s="186"/>
      <c r="AJ6" s="173"/>
      <c r="AK6" s="173"/>
      <c r="AL6" s="186"/>
      <c r="AM6" s="173"/>
      <c r="AN6" s="173"/>
      <c r="AO6" s="186"/>
      <c r="AP6" s="186"/>
      <c r="AQ6" s="186"/>
      <c r="AR6" s="186"/>
      <c r="AT6" s="7"/>
    </row>
    <row r="7" spans="1:52" ht="15" x14ac:dyDescent="0.25">
      <c r="A7" s="189" t="s">
        <v>66</v>
      </c>
      <c r="B7" s="190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8"/>
      <c r="B8" s="188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>
        <v>851</v>
      </c>
      <c r="AV8" s="161">
        <v>852</v>
      </c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7578</v>
      </c>
      <c r="D9" s="75"/>
      <c r="E9" s="56">
        <f>C9*D9</f>
        <v>0</v>
      </c>
      <c r="F9" s="158">
        <f>ROUND(C9*5%,0)</f>
        <v>379</v>
      </c>
      <c r="G9" s="158">
        <f>F9*18</f>
        <v>6822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111.39659999999999</v>
      </c>
      <c r="O9" s="75">
        <v>4.6600000000000003E-2</v>
      </c>
      <c r="P9" s="56">
        <f>C9*O9</f>
        <v>353.13480000000004</v>
      </c>
      <c r="Q9" s="75"/>
      <c r="R9" s="56">
        <f>C9*Q9</f>
        <v>0</v>
      </c>
      <c r="S9" s="75">
        <v>1E-3</v>
      </c>
      <c r="T9" s="56">
        <f>C9*S9</f>
        <v>7.5780000000000003</v>
      </c>
      <c r="U9" s="75"/>
      <c r="V9" s="56">
        <f>C9*U9</f>
        <v>0</v>
      </c>
      <c r="W9" s="75">
        <v>8.0000000000000002E-3</v>
      </c>
      <c r="X9" s="56">
        <f>C9*W9</f>
        <v>60.624000000000002</v>
      </c>
      <c r="Y9" s="75">
        <v>9.5399999999999999E-2</v>
      </c>
      <c r="Z9" s="56">
        <f>C9*Y9</f>
        <v>722.94119999999998</v>
      </c>
      <c r="AA9" s="75">
        <v>0.19400000000000001</v>
      </c>
      <c r="AB9" s="56">
        <f>C9*AA9</f>
        <v>1470.1320000000001</v>
      </c>
      <c r="AC9" s="75">
        <v>1E-3</v>
      </c>
      <c r="AD9" s="56">
        <f t="shared" ref="AD9:AD21" si="0">C9*AC9</f>
        <v>7.5780000000000003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1139.9000000000001</v>
      </c>
      <c r="AN9" s="160">
        <v>6.0499999999999998E-3</v>
      </c>
      <c r="AO9" s="56">
        <f>AM9*AN9*12/1000</f>
        <v>8.2756740000000009E-2</v>
      </c>
      <c r="AP9" s="58">
        <f>E9+I9+L9+N9+P9+R9+T9+V9+X9+Z9+AB9+AD9+AE9+AF9+AI9+AL9+AO9</f>
        <v>2743.96735674</v>
      </c>
      <c r="AQ9" s="143">
        <f t="shared" ref="AQ9:AQ21" si="1">AP9/C9</f>
        <v>0.36209651052256531</v>
      </c>
      <c r="AR9" s="144">
        <f t="shared" ref="AR9:AR16" si="2">ROUND((AP9/C9)/($AP$22/$C$22),5)</f>
        <v>0.59545999999999999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806</v>
      </c>
      <c r="D10" s="75">
        <v>0.66800000000000004</v>
      </c>
      <c r="E10" s="56">
        <f t="shared" ref="E10:E21" si="3">C10*D10</f>
        <v>538.40800000000002</v>
      </c>
      <c r="F10" s="158">
        <f t="shared" ref="F10:F21" si="4">ROUND(C10*5%,0)</f>
        <v>40</v>
      </c>
      <c r="G10" s="158">
        <f t="shared" ref="G10:G21" si="5">F10*18</f>
        <v>720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19.505199999999999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0.80600000000000005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5.6420000000000003</v>
      </c>
      <c r="Y10" s="75">
        <v>4.7800000000000002E-2</v>
      </c>
      <c r="Z10" s="56">
        <f t="shared" ref="Z10:Z21" si="14">C10*Y10</f>
        <v>38.526800000000001</v>
      </c>
      <c r="AA10" s="75">
        <v>4.1000000000000002E-2</v>
      </c>
      <c r="AB10" s="56">
        <f t="shared" ref="AB10:AB21" si="15">C10*AA10</f>
        <v>33.045999999999999</v>
      </c>
      <c r="AC10" s="75">
        <v>1E-3</v>
      </c>
      <c r="AD10" s="56">
        <f t="shared" si="0"/>
        <v>0.80600000000000005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647.24000000000012</v>
      </c>
      <c r="AQ10" s="143">
        <f t="shared" si="1"/>
        <v>0.80302729528535999</v>
      </c>
      <c r="AR10" s="144">
        <f t="shared" si="2"/>
        <v>1.32056</v>
      </c>
      <c r="AS10" s="130"/>
      <c r="AU10" s="162">
        <v>12270</v>
      </c>
      <c r="AV10" s="162">
        <v>2160</v>
      </c>
      <c r="AW10" s="162"/>
      <c r="AX10" s="162"/>
      <c r="AY10" s="163">
        <f>AU10+AV10+AW10+AX10</f>
        <v>14430</v>
      </c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639</v>
      </c>
      <c r="D11" s="75">
        <v>0.66800000000000004</v>
      </c>
      <c r="E11" s="56">
        <f t="shared" si="3"/>
        <v>426.85200000000003</v>
      </c>
      <c r="F11" s="158">
        <f t="shared" si="4"/>
        <v>32</v>
      </c>
      <c r="G11" s="158">
        <f t="shared" si="5"/>
        <v>576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15.463799999999999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0.63900000000000001</v>
      </c>
      <c r="U11" s="75"/>
      <c r="V11" s="56">
        <f t="shared" si="12"/>
        <v>0</v>
      </c>
      <c r="W11" s="75">
        <v>7.0000000000000001E-3</v>
      </c>
      <c r="X11" s="56">
        <f t="shared" si="13"/>
        <v>4.4729999999999999</v>
      </c>
      <c r="Y11" s="75">
        <v>4.7800000000000002E-2</v>
      </c>
      <c r="Z11" s="56">
        <f t="shared" si="14"/>
        <v>30.5442</v>
      </c>
      <c r="AA11" s="75">
        <v>4.1000000000000002E-2</v>
      </c>
      <c r="AB11" s="56">
        <f t="shared" si="15"/>
        <v>26.199000000000002</v>
      </c>
      <c r="AC11" s="75">
        <v>1E-3</v>
      </c>
      <c r="AD11" s="56">
        <f t="shared" si="0"/>
        <v>0.63900000000000001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557.31000000000006</v>
      </c>
      <c r="AQ11" s="143">
        <f t="shared" si="1"/>
        <v>0.87215962441314565</v>
      </c>
      <c r="AR11" s="144">
        <f t="shared" si="2"/>
        <v>1.43424</v>
      </c>
      <c r="AS11" s="130"/>
      <c r="AU11" s="162">
        <v>19998</v>
      </c>
      <c r="AV11" s="162">
        <v>1713</v>
      </c>
      <c r="AW11" s="162"/>
      <c r="AX11" s="162"/>
      <c r="AY11" s="163">
        <f t="shared" ref="AY11:AY21" si="20">AU11+AV11+AW11+AX11</f>
        <v>21711</v>
      </c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1249</v>
      </c>
      <c r="D12" s="75">
        <v>0.63800000000000001</v>
      </c>
      <c r="E12" s="56">
        <f t="shared" si="3"/>
        <v>796.86199999999997</v>
      </c>
      <c r="F12" s="158">
        <f t="shared" si="4"/>
        <v>62</v>
      </c>
      <c r="G12" s="158">
        <f t="shared" si="5"/>
        <v>1116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30.2258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1.2490000000000001</v>
      </c>
      <c r="U12" s="75"/>
      <c r="V12" s="56">
        <f t="shared" si="12"/>
        <v>0</v>
      </c>
      <c r="W12" s="75">
        <v>7.0000000000000001E-3</v>
      </c>
      <c r="X12" s="56">
        <f t="shared" si="13"/>
        <v>8.7430000000000003</v>
      </c>
      <c r="Y12" s="75">
        <v>4.7800000000000002E-2</v>
      </c>
      <c r="Z12" s="56">
        <f t="shared" si="14"/>
        <v>59.702200000000005</v>
      </c>
      <c r="AA12" s="75">
        <v>4.1000000000000002E-2</v>
      </c>
      <c r="AB12" s="56">
        <f t="shared" si="15"/>
        <v>51.209000000000003</v>
      </c>
      <c r="AC12" s="75">
        <v>1E-3</v>
      </c>
      <c r="AD12" s="56">
        <f t="shared" si="0"/>
        <v>1.2490000000000001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949.24000000000024</v>
      </c>
      <c r="AQ12" s="143">
        <f t="shared" si="1"/>
        <v>0.76000000000000023</v>
      </c>
      <c r="AR12" s="144">
        <f t="shared" si="2"/>
        <v>1.2498</v>
      </c>
      <c r="AS12" s="130"/>
      <c r="AU12" s="162">
        <v>15397</v>
      </c>
      <c r="AV12" s="162">
        <v>383</v>
      </c>
      <c r="AW12" s="162"/>
      <c r="AX12" s="162"/>
      <c r="AY12" s="163">
        <f t="shared" si="20"/>
        <v>15780</v>
      </c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730</v>
      </c>
      <c r="D13" s="75">
        <v>0.66800000000000004</v>
      </c>
      <c r="E13" s="56">
        <f t="shared" si="3"/>
        <v>487.64000000000004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17.666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0.73</v>
      </c>
      <c r="U13" s="75"/>
      <c r="V13" s="56">
        <f t="shared" si="12"/>
        <v>0</v>
      </c>
      <c r="W13" s="75">
        <v>7.0000000000000001E-3</v>
      </c>
      <c r="X13" s="56">
        <f t="shared" si="13"/>
        <v>5.1100000000000003</v>
      </c>
      <c r="Y13" s="75">
        <v>4.7800000000000002E-2</v>
      </c>
      <c r="Z13" s="56">
        <f t="shared" si="14"/>
        <v>34.893999999999998</v>
      </c>
      <c r="AA13" s="75">
        <v>4.1000000000000002E-2</v>
      </c>
      <c r="AB13" s="56">
        <f t="shared" si="15"/>
        <v>29.93</v>
      </c>
      <c r="AC13" s="75">
        <v>1E-3</v>
      </c>
      <c r="AD13" s="56">
        <f t="shared" si="0"/>
        <v>0.73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587.20000000000005</v>
      </c>
      <c r="AQ13" s="143">
        <f t="shared" si="1"/>
        <v>0.80438356164383573</v>
      </c>
      <c r="AR13" s="144">
        <f t="shared" si="2"/>
        <v>1.3227899999999999</v>
      </c>
      <c r="AS13" s="130"/>
      <c r="AU13" s="162"/>
      <c r="AV13" s="162">
        <v>693</v>
      </c>
      <c r="AW13" s="162"/>
      <c r="AX13" s="162"/>
      <c r="AY13" s="163">
        <f t="shared" si="20"/>
        <v>693</v>
      </c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1013</v>
      </c>
      <c r="D14" s="75">
        <v>0.63800000000000001</v>
      </c>
      <c r="E14" s="56">
        <f t="shared" si="3"/>
        <v>646.29399999999998</v>
      </c>
      <c r="F14" s="158">
        <f t="shared" si="4"/>
        <v>51</v>
      </c>
      <c r="G14" s="158">
        <f t="shared" si="5"/>
        <v>918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24.514599999999998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1.0130000000000001</v>
      </c>
      <c r="U14" s="75"/>
      <c r="V14" s="56">
        <f t="shared" si="12"/>
        <v>0</v>
      </c>
      <c r="W14" s="75">
        <v>7.0000000000000001E-3</v>
      </c>
      <c r="X14" s="56">
        <f t="shared" si="13"/>
        <v>7.0910000000000002</v>
      </c>
      <c r="Y14" s="75">
        <v>4.7800000000000002E-2</v>
      </c>
      <c r="Z14" s="56">
        <f t="shared" si="14"/>
        <v>48.421400000000006</v>
      </c>
      <c r="AA14" s="75">
        <v>4.1000000000000002E-2</v>
      </c>
      <c r="AB14" s="56">
        <f t="shared" si="15"/>
        <v>41.533000000000001</v>
      </c>
      <c r="AC14" s="75">
        <v>1E-3</v>
      </c>
      <c r="AD14" s="56">
        <f t="shared" si="0"/>
        <v>1.0130000000000001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769.88000000000011</v>
      </c>
      <c r="AQ14" s="143">
        <f t="shared" si="1"/>
        <v>0.76000000000000012</v>
      </c>
      <c r="AR14" s="144">
        <f t="shared" si="2"/>
        <v>1.2498</v>
      </c>
      <c r="AS14" s="130"/>
      <c r="AU14" s="162">
        <v>36641</v>
      </c>
      <c r="AV14" s="162">
        <v>3119</v>
      </c>
      <c r="AW14" s="162"/>
      <c r="AX14" s="162"/>
      <c r="AY14" s="163">
        <f t="shared" si="20"/>
        <v>39760</v>
      </c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562</v>
      </c>
      <c r="D15" s="75">
        <v>0.66800000000000004</v>
      </c>
      <c r="E15" s="56">
        <f t="shared" si="3"/>
        <v>375.416</v>
      </c>
      <c r="F15" s="158">
        <f t="shared" si="4"/>
        <v>28</v>
      </c>
      <c r="G15" s="158">
        <f t="shared" si="5"/>
        <v>504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13.6004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0.56200000000000006</v>
      </c>
      <c r="U15" s="75"/>
      <c r="V15" s="56">
        <f t="shared" si="12"/>
        <v>0</v>
      </c>
      <c r="W15" s="75">
        <v>7.0000000000000001E-3</v>
      </c>
      <c r="X15" s="56">
        <f t="shared" si="13"/>
        <v>3.9340000000000002</v>
      </c>
      <c r="Y15" s="75">
        <v>4.7800000000000002E-2</v>
      </c>
      <c r="Z15" s="56">
        <f t="shared" si="14"/>
        <v>26.863600000000002</v>
      </c>
      <c r="AA15" s="75">
        <v>4.1000000000000002E-2</v>
      </c>
      <c r="AB15" s="56">
        <f t="shared" si="15"/>
        <v>23.042000000000002</v>
      </c>
      <c r="AC15" s="75">
        <v>1E-3</v>
      </c>
      <c r="AD15" s="56">
        <f t="shared" si="0"/>
        <v>0.56200000000000006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475.48</v>
      </c>
      <c r="AQ15" s="143">
        <f t="shared" si="1"/>
        <v>0.84604982206405699</v>
      </c>
      <c r="AR15" s="144">
        <f t="shared" si="2"/>
        <v>1.39131</v>
      </c>
      <c r="AS15" s="130"/>
      <c r="AU15" s="162">
        <v>11442</v>
      </c>
      <c r="AV15" s="162">
        <v>5940</v>
      </c>
      <c r="AW15" s="162"/>
      <c r="AX15" s="162"/>
      <c r="AY15" s="163">
        <f t="shared" si="20"/>
        <v>17382</v>
      </c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1440</v>
      </c>
      <c r="D16" s="75">
        <v>0.63800000000000001</v>
      </c>
      <c r="E16" s="56">
        <f t="shared" si="3"/>
        <v>918.72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34.847999999999999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</v>
      </c>
      <c r="U16" s="75"/>
      <c r="V16" s="56">
        <f t="shared" si="12"/>
        <v>0</v>
      </c>
      <c r="W16" s="75">
        <v>7.0000000000000001E-3</v>
      </c>
      <c r="X16" s="56">
        <f t="shared" si="13"/>
        <v>10.08</v>
      </c>
      <c r="Y16" s="75">
        <v>4.7800000000000002E-2</v>
      </c>
      <c r="Z16" s="56">
        <f t="shared" si="14"/>
        <v>68.832000000000008</v>
      </c>
      <c r="AA16" s="75">
        <v>4.1000000000000002E-2</v>
      </c>
      <c r="AB16" s="56">
        <f t="shared" si="15"/>
        <v>59.04</v>
      </c>
      <c r="AC16" s="75">
        <v>1E-3</v>
      </c>
      <c r="AD16" s="56">
        <f t="shared" si="0"/>
        <v>1.44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1125.9000000000001</v>
      </c>
      <c r="AQ16" s="143">
        <f t="shared" si="1"/>
        <v>0.7818750000000001</v>
      </c>
      <c r="AR16" s="144">
        <f t="shared" si="2"/>
        <v>1.2857700000000001</v>
      </c>
      <c r="AS16" s="130"/>
      <c r="AU16" s="162">
        <v>32272</v>
      </c>
      <c r="AV16" s="162">
        <v>2500</v>
      </c>
      <c r="AW16" s="162"/>
      <c r="AX16" s="162"/>
      <c r="AY16" s="163">
        <f t="shared" si="20"/>
        <v>34772</v>
      </c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698</v>
      </c>
      <c r="D17" s="75">
        <v>0.66800000000000004</v>
      </c>
      <c r="E17" s="56">
        <f t="shared" ref="E17:E18" si="21">C17*D17</f>
        <v>466.26400000000001</v>
      </c>
      <c r="F17" s="158">
        <f t="shared" ref="F17:F18" si="22">ROUND(C17*5%,0)</f>
        <v>35</v>
      </c>
      <c r="G17" s="158">
        <f t="shared" ref="G17:G18" si="23">F17*18</f>
        <v>630</v>
      </c>
      <c r="H17" s="67"/>
      <c r="I17" s="56">
        <f t="shared" ref="I17:I18" si="24">G17*H17/1000*1%</f>
        <v>0</v>
      </c>
      <c r="J17" s="132"/>
      <c r="K17" s="132">
        <v>2.58</v>
      </c>
      <c r="L17" s="56">
        <f t="shared" ref="L17:L18" si="25">J17*K17</f>
        <v>0</v>
      </c>
      <c r="M17" s="75">
        <v>2.4199999999999999E-2</v>
      </c>
      <c r="N17" s="56">
        <f t="shared" ref="N17:N18" si="26">C17*M17</f>
        <v>16.8916</v>
      </c>
      <c r="O17" s="75"/>
      <c r="P17" s="56">
        <f t="shared" ref="P17:P18" si="27">C17*O17</f>
        <v>0</v>
      </c>
      <c r="Q17" s="75"/>
      <c r="R17" s="56">
        <f t="shared" ref="R17:R18" si="28">C17*Q17</f>
        <v>0</v>
      </c>
      <c r="S17" s="75">
        <v>1E-3</v>
      </c>
      <c r="T17" s="56">
        <f t="shared" ref="T17:T18" si="29">C17*S17</f>
        <v>0.69800000000000006</v>
      </c>
      <c r="U17" s="75"/>
      <c r="V17" s="56">
        <f t="shared" ref="V17:V18" si="30">C17*U17</f>
        <v>0</v>
      </c>
      <c r="W17" s="75">
        <v>7.0000000000000001E-3</v>
      </c>
      <c r="X17" s="56">
        <f t="shared" ref="X17:X18" si="31">C17*W17</f>
        <v>4.8860000000000001</v>
      </c>
      <c r="Y17" s="75">
        <v>4.7800000000000002E-2</v>
      </c>
      <c r="Z17" s="56">
        <f t="shared" ref="Z17:Z18" si="32">C17*Y17</f>
        <v>33.364400000000003</v>
      </c>
      <c r="AA17" s="75">
        <v>4.1000000000000002E-2</v>
      </c>
      <c r="AB17" s="56">
        <f t="shared" ref="AB17:AB18" si="33">C17*AA17</f>
        <v>28.618000000000002</v>
      </c>
      <c r="AC17" s="75">
        <v>1E-3</v>
      </c>
      <c r="AD17" s="56">
        <f t="shared" ref="AD17:AD18" si="34">C17*AC17</f>
        <v>0.69800000000000006</v>
      </c>
      <c r="AE17" s="56"/>
      <c r="AF17" s="56"/>
      <c r="AG17" s="67"/>
      <c r="AH17" s="75"/>
      <c r="AI17" s="56">
        <f t="shared" ref="AI17:AI18" si="35">AG17*AH17</f>
        <v>0</v>
      </c>
      <c r="AJ17" s="67">
        <v>2</v>
      </c>
      <c r="AK17" s="75">
        <v>10.5</v>
      </c>
      <c r="AL17" s="56">
        <f t="shared" ref="AL17:AL18" si="36">AJ17*AK17</f>
        <v>21</v>
      </c>
      <c r="AM17" s="61"/>
      <c r="AN17" s="61"/>
      <c r="AO17" s="56">
        <f t="shared" ref="AO17:AO18" si="37">AM17*AN17*12/1000</f>
        <v>0</v>
      </c>
      <c r="AP17" s="58">
        <f t="shared" ref="AP17:AP18" si="38">E17+I17+L17+N17+P17+R17+T17+V17+X17+Z17+AB17+AD17+AE17+AF17+AI17+AL17+AO17</f>
        <v>572.42000000000007</v>
      </c>
      <c r="AQ17" s="143">
        <f t="shared" ref="AQ17:AQ18" si="39">AP17/C17</f>
        <v>0.82008595988538691</v>
      </c>
      <c r="AR17" s="144">
        <f t="shared" ref="AR17:AR18" si="40">ROUND((AP17/C17)/($AP$22/$C$22),5)</f>
        <v>1.3486100000000001</v>
      </c>
      <c r="AS17" s="130"/>
      <c r="AU17" s="162">
        <v>20</v>
      </c>
      <c r="AV17" s="162">
        <v>2754</v>
      </c>
      <c r="AW17" s="162"/>
      <c r="AX17" s="162"/>
      <c r="AY17" s="163">
        <f t="shared" si="20"/>
        <v>2774</v>
      </c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615</v>
      </c>
      <c r="D18" s="75">
        <v>0.66800000000000004</v>
      </c>
      <c r="E18" s="56">
        <f t="shared" si="21"/>
        <v>410.82000000000005</v>
      </c>
      <c r="F18" s="158">
        <f t="shared" si="22"/>
        <v>31</v>
      </c>
      <c r="G18" s="158">
        <f t="shared" si="23"/>
        <v>558</v>
      </c>
      <c r="H18" s="67"/>
      <c r="I18" s="56">
        <f t="shared" si="24"/>
        <v>0</v>
      </c>
      <c r="J18" s="132"/>
      <c r="K18" s="132">
        <v>2.58</v>
      </c>
      <c r="L18" s="56">
        <f t="shared" si="25"/>
        <v>0</v>
      </c>
      <c r="M18" s="75">
        <v>2.4199999999999999E-2</v>
      </c>
      <c r="N18" s="56">
        <f t="shared" si="26"/>
        <v>14.882999999999999</v>
      </c>
      <c r="O18" s="75"/>
      <c r="P18" s="56">
        <f t="shared" si="27"/>
        <v>0</v>
      </c>
      <c r="Q18" s="75"/>
      <c r="R18" s="56">
        <f t="shared" si="28"/>
        <v>0</v>
      </c>
      <c r="S18" s="75">
        <v>1E-3</v>
      </c>
      <c r="T18" s="56">
        <f t="shared" si="29"/>
        <v>0.61499999999999999</v>
      </c>
      <c r="U18" s="75"/>
      <c r="V18" s="56">
        <f t="shared" si="30"/>
        <v>0</v>
      </c>
      <c r="W18" s="75">
        <v>7.0000000000000001E-3</v>
      </c>
      <c r="X18" s="56">
        <f t="shared" si="31"/>
        <v>4.3049999999999997</v>
      </c>
      <c r="Y18" s="75">
        <v>4.7800000000000002E-2</v>
      </c>
      <c r="Z18" s="56">
        <f t="shared" si="32"/>
        <v>29.397000000000002</v>
      </c>
      <c r="AA18" s="75">
        <v>4.1000000000000002E-2</v>
      </c>
      <c r="AB18" s="56">
        <f t="shared" si="33"/>
        <v>25.215</v>
      </c>
      <c r="AC18" s="75">
        <v>1E-3</v>
      </c>
      <c r="AD18" s="56">
        <f t="shared" si="34"/>
        <v>0.61499999999999999</v>
      </c>
      <c r="AE18" s="56"/>
      <c r="AF18" s="56"/>
      <c r="AG18" s="67"/>
      <c r="AH18" s="75"/>
      <c r="AI18" s="56">
        <f t="shared" si="35"/>
        <v>0</v>
      </c>
      <c r="AJ18" s="67">
        <v>4</v>
      </c>
      <c r="AK18" s="75">
        <v>10.5</v>
      </c>
      <c r="AL18" s="56">
        <f t="shared" si="36"/>
        <v>42</v>
      </c>
      <c r="AM18" s="61"/>
      <c r="AN18" s="61"/>
      <c r="AO18" s="56">
        <f t="shared" si="37"/>
        <v>0</v>
      </c>
      <c r="AP18" s="58">
        <f t="shared" si="38"/>
        <v>527.85</v>
      </c>
      <c r="AQ18" s="143">
        <f t="shared" si="39"/>
        <v>0.85829268292682925</v>
      </c>
      <c r="AR18" s="144">
        <f t="shared" si="40"/>
        <v>1.41144</v>
      </c>
      <c r="AS18" s="130"/>
      <c r="AU18" s="162">
        <v>12568</v>
      </c>
      <c r="AV18" s="162">
        <v>702</v>
      </c>
      <c r="AW18" s="162">
        <v>7500</v>
      </c>
      <c r="AX18" s="162">
        <v>2107</v>
      </c>
      <c r="AY18" s="163">
        <f t="shared" si="20"/>
        <v>22877</v>
      </c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594</v>
      </c>
      <c r="D19" s="75">
        <v>0.66800000000000004</v>
      </c>
      <c r="E19" s="56">
        <f t="shared" si="3"/>
        <v>396.79200000000003</v>
      </c>
      <c r="F19" s="158">
        <f t="shared" si="4"/>
        <v>30</v>
      </c>
      <c r="G19" s="158">
        <f t="shared" si="5"/>
        <v>540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14.3748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0.59399999999999997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4.1580000000000004</v>
      </c>
      <c r="Y19" s="75">
        <v>4.7800000000000002E-2</v>
      </c>
      <c r="Z19" s="56">
        <f t="shared" si="14"/>
        <v>28.3932</v>
      </c>
      <c r="AA19" s="75">
        <v>4.1000000000000002E-2</v>
      </c>
      <c r="AB19" s="56">
        <f t="shared" si="15"/>
        <v>24.354000000000003</v>
      </c>
      <c r="AC19" s="75">
        <v>1E-3</v>
      </c>
      <c r="AD19" s="56">
        <f t="shared" si="0"/>
        <v>0.59399999999999997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469.26</v>
      </c>
      <c r="AQ19" s="143">
        <f t="shared" si="1"/>
        <v>0.79</v>
      </c>
      <c r="AR19" s="144">
        <f>ROUND((AP19/C19)/($AP$22/$C$22),5)</f>
        <v>1.2991299999999999</v>
      </c>
      <c r="AS19" s="130"/>
      <c r="AU19" s="162"/>
      <c r="AV19" s="162">
        <v>509</v>
      </c>
      <c r="AW19" s="162"/>
      <c r="AX19" s="162"/>
      <c r="AY19" s="163">
        <f t="shared" si="20"/>
        <v>509</v>
      </c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580</v>
      </c>
      <c r="D20" s="75">
        <v>0.66800000000000004</v>
      </c>
      <c r="E20" s="56">
        <f t="shared" si="3"/>
        <v>387.44</v>
      </c>
      <c r="F20" s="158">
        <f t="shared" si="4"/>
        <v>29</v>
      </c>
      <c r="G20" s="158">
        <f t="shared" si="5"/>
        <v>522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14.036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0.57999999999999996</v>
      </c>
      <c r="U20" s="75"/>
      <c r="V20" s="56">
        <f t="shared" si="12"/>
        <v>0</v>
      </c>
      <c r="W20" s="75">
        <v>7.0000000000000001E-3</v>
      </c>
      <c r="X20" s="56">
        <f t="shared" si="13"/>
        <v>4.0600000000000005</v>
      </c>
      <c r="Y20" s="75">
        <v>4.7800000000000002E-2</v>
      </c>
      <c r="Z20" s="56">
        <f t="shared" si="14"/>
        <v>27.724</v>
      </c>
      <c r="AA20" s="75">
        <v>4.1000000000000002E-2</v>
      </c>
      <c r="AB20" s="56">
        <f t="shared" si="15"/>
        <v>23.78</v>
      </c>
      <c r="AC20" s="75">
        <v>1E-3</v>
      </c>
      <c r="AD20" s="56">
        <f t="shared" si="0"/>
        <v>0.57999999999999996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489.7</v>
      </c>
      <c r="AQ20" s="143">
        <f t="shared" si="1"/>
        <v>0.84431034482758616</v>
      </c>
      <c r="AR20" s="144">
        <f>ROUND((AP20/C20)/($AP$22/$C$22),5)</f>
        <v>1.3884399999999999</v>
      </c>
      <c r="AS20" s="130"/>
      <c r="AU20" s="162">
        <v>160</v>
      </c>
      <c r="AV20" s="162">
        <v>1911</v>
      </c>
      <c r="AW20" s="162"/>
      <c r="AX20" s="162"/>
      <c r="AY20" s="163">
        <f t="shared" si="20"/>
        <v>2071</v>
      </c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663</v>
      </c>
      <c r="D21" s="75">
        <v>0.66800000000000004</v>
      </c>
      <c r="E21" s="56">
        <f t="shared" si="3"/>
        <v>442.88400000000001</v>
      </c>
      <c r="F21" s="158">
        <f t="shared" si="4"/>
        <v>33</v>
      </c>
      <c r="G21" s="158">
        <f t="shared" si="5"/>
        <v>594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16.044599999999999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0.66300000000000003</v>
      </c>
      <c r="U21" s="75"/>
      <c r="V21" s="56">
        <f t="shared" si="12"/>
        <v>0</v>
      </c>
      <c r="W21" s="75">
        <v>7.0000000000000001E-3</v>
      </c>
      <c r="X21" s="56">
        <f t="shared" si="13"/>
        <v>4.641</v>
      </c>
      <c r="Y21" s="75">
        <v>4.7800000000000002E-2</v>
      </c>
      <c r="Z21" s="56">
        <f t="shared" si="14"/>
        <v>31.691400000000002</v>
      </c>
      <c r="AA21" s="75">
        <v>4.1000000000000002E-2</v>
      </c>
      <c r="AB21" s="56">
        <f t="shared" si="15"/>
        <v>27.183</v>
      </c>
      <c r="AC21" s="75">
        <v>1E-3</v>
      </c>
      <c r="AD21" s="56">
        <f t="shared" si="0"/>
        <v>0.66300000000000003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523.7700000000001</v>
      </c>
      <c r="AQ21" s="143">
        <f t="shared" si="1"/>
        <v>0.79000000000000015</v>
      </c>
      <c r="AR21" s="144">
        <f>ROUND((AP21/C21)/($AP$22/$C$22),5)</f>
        <v>1.2991299999999999</v>
      </c>
      <c r="AS21" s="130"/>
      <c r="AU21" s="162">
        <v>6617</v>
      </c>
      <c r="AV21" s="162">
        <v>1909</v>
      </c>
      <c r="AW21" s="162"/>
      <c r="AX21" s="162"/>
      <c r="AY21" s="163">
        <f t="shared" si="20"/>
        <v>8526</v>
      </c>
      <c r="AZ21" s="162"/>
    </row>
    <row r="22" spans="1:52" ht="19.5" customHeight="1" x14ac:dyDescent="0.25">
      <c r="A22" s="182" t="s">
        <v>0</v>
      </c>
      <c r="B22" s="182"/>
      <c r="C22" s="156">
        <f>SUM(C9:C21)</f>
        <v>17167</v>
      </c>
      <c r="D22" s="146" t="s">
        <v>82</v>
      </c>
      <c r="E22" s="151">
        <f>SUM(E9:E21)</f>
        <v>6294.3919999999998</v>
      </c>
      <c r="F22" s="159">
        <f>SUM(F9:F21)</f>
        <v>859</v>
      </c>
      <c r="G22" s="159">
        <f>SUM(G9:G21)</f>
        <v>15462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1">SUM(N9:N21)</f>
        <v>343.45039999999995</v>
      </c>
      <c r="O22" s="148" t="s">
        <v>7</v>
      </c>
      <c r="P22" s="151">
        <f t="shared" si="41"/>
        <v>353.13480000000004</v>
      </c>
      <c r="Q22" s="148" t="s">
        <v>7</v>
      </c>
      <c r="R22" s="151">
        <f t="shared" ref="R22" si="42">SUM(R9:R21)</f>
        <v>0</v>
      </c>
      <c r="S22" s="148" t="s">
        <v>7</v>
      </c>
      <c r="T22" s="151">
        <f t="shared" ref="T22" si="43">SUM(T9:T21)</f>
        <v>17.166999999999998</v>
      </c>
      <c r="U22" s="148" t="s">
        <v>7</v>
      </c>
      <c r="V22" s="151">
        <f t="shared" ref="V22" si="44">SUM(V9:V21)</f>
        <v>0</v>
      </c>
      <c r="W22" s="148" t="s">
        <v>7</v>
      </c>
      <c r="X22" s="151">
        <f t="shared" ref="X22" si="45">SUM(X9:X21)</f>
        <v>127.74699999999999</v>
      </c>
      <c r="Y22" s="148" t="s">
        <v>7</v>
      </c>
      <c r="Z22" s="151">
        <f t="shared" ref="Z22" si="46">SUM(Z9:Z21)</f>
        <v>1181.2953999999997</v>
      </c>
      <c r="AA22" s="148" t="s">
        <v>7</v>
      </c>
      <c r="AB22" s="151">
        <f t="shared" ref="AB22" si="47">SUM(AB9:AB21)</f>
        <v>1863.2809999999999</v>
      </c>
      <c r="AC22" s="148" t="s">
        <v>7</v>
      </c>
      <c r="AD22" s="151">
        <f t="shared" ref="AD22" si="48">SUM(AD9:AD21)</f>
        <v>17.166999999999998</v>
      </c>
      <c r="AE22" s="151">
        <f t="shared" ref="AE22" si="49">SUM(AE9:AE21)</f>
        <v>0</v>
      </c>
      <c r="AF22" s="151">
        <f t="shared" ref="AF22" si="50">SUM(AF9:AF21)</f>
        <v>0</v>
      </c>
      <c r="AG22" s="145">
        <f>SUM(AG9:AG21)</f>
        <v>0</v>
      </c>
      <c r="AH22" s="148" t="s">
        <v>7</v>
      </c>
      <c r="AI22" s="151">
        <f t="shared" ref="AI22" si="51">SUM(AI9:AI21)</f>
        <v>0</v>
      </c>
      <c r="AJ22" s="145">
        <f>SUM(AJ9:AJ21)</f>
        <v>23</v>
      </c>
      <c r="AK22" s="148" t="s">
        <v>7</v>
      </c>
      <c r="AL22" s="151">
        <f t="shared" ref="AL22" si="52">SUM(AL9:AL21)</f>
        <v>241.5</v>
      </c>
      <c r="AM22" s="148" t="s">
        <v>7</v>
      </c>
      <c r="AN22" s="146" t="s">
        <v>82</v>
      </c>
      <c r="AO22" s="151">
        <f>SUM(AO9:AO21)</f>
        <v>8.2756740000000009E-2</v>
      </c>
      <c r="AP22" s="151">
        <f>SUM(AP9:AP21)</f>
        <v>10439.217356740002</v>
      </c>
      <c r="AQ22" s="149">
        <f>SUM(AQ9:AQ21)</f>
        <v>10.092280801568768</v>
      </c>
      <c r="AR22" s="150">
        <f>(AP22/C22)/($AP$22/$C$22)</f>
        <v>1</v>
      </c>
      <c r="AU22" s="161">
        <f>SUM(AU9:AU21)</f>
        <v>147385</v>
      </c>
      <c r="AV22" s="161">
        <f t="shared" ref="AV22:AY22" si="53">SUM(AV9:AV21)</f>
        <v>24293</v>
      </c>
      <c r="AW22" s="161">
        <f t="shared" si="53"/>
        <v>7500</v>
      </c>
      <c r="AX22" s="161">
        <f t="shared" si="53"/>
        <v>2107</v>
      </c>
      <c r="AY22" s="163">
        <f t="shared" si="53"/>
        <v>181285</v>
      </c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191" t="s">
        <v>1</v>
      </c>
      <c r="B29" s="191" t="s">
        <v>2</v>
      </c>
      <c r="C29" s="186" t="s">
        <v>85</v>
      </c>
      <c r="D29" s="173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3" t="s">
        <v>53</v>
      </c>
      <c r="U29" s="122"/>
      <c r="V29" s="186" t="s">
        <v>54</v>
      </c>
      <c r="W29" s="173" t="s">
        <v>55</v>
      </c>
      <c r="X29" s="186" t="s">
        <v>56</v>
      </c>
      <c r="Y29" s="173" t="s">
        <v>57</v>
      </c>
      <c r="Z29" s="186" t="s">
        <v>58</v>
      </c>
      <c r="AA29" s="204"/>
      <c r="AB29" s="204"/>
      <c r="AC29" s="201" t="s">
        <v>59</v>
      </c>
      <c r="AD29" s="173" t="s">
        <v>60</v>
      </c>
      <c r="AE29" s="173" t="s">
        <v>60</v>
      </c>
      <c r="AF29" s="173" t="s">
        <v>60</v>
      </c>
      <c r="AG29" s="173" t="s">
        <v>59</v>
      </c>
      <c r="AH29" s="122"/>
      <c r="AI29" s="173" t="s">
        <v>60</v>
      </c>
      <c r="AJ29" s="173" t="s">
        <v>59</v>
      </c>
      <c r="AK29" s="122"/>
      <c r="AL29" s="173" t="s">
        <v>60</v>
      </c>
      <c r="AM29" s="173" t="s">
        <v>86</v>
      </c>
      <c r="AN29" s="186" t="s">
        <v>87</v>
      </c>
      <c r="AO29" s="173" t="s">
        <v>61</v>
      </c>
    </row>
    <row r="30" spans="1:52" ht="12.75" hidden="1" customHeight="1" x14ac:dyDescent="0.2">
      <c r="A30" s="192"/>
      <c r="B30" s="194"/>
      <c r="C30" s="186"/>
      <c r="D30" s="173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3"/>
      <c r="U30" s="122"/>
      <c r="V30" s="186"/>
      <c r="W30" s="173"/>
      <c r="X30" s="186"/>
      <c r="Y30" s="173"/>
      <c r="Z30" s="186"/>
      <c r="AA30" s="205"/>
      <c r="AB30" s="205"/>
      <c r="AC30" s="202"/>
      <c r="AD30" s="173"/>
      <c r="AE30" s="173"/>
      <c r="AF30" s="173"/>
      <c r="AG30" s="173"/>
      <c r="AH30" s="122"/>
      <c r="AI30" s="173"/>
      <c r="AJ30" s="173"/>
      <c r="AK30" s="122"/>
      <c r="AL30" s="173"/>
      <c r="AM30" s="173"/>
      <c r="AN30" s="186"/>
      <c r="AO30" s="173"/>
    </row>
    <row r="31" spans="1:52" ht="34.5" hidden="1" customHeight="1" x14ac:dyDescent="0.2">
      <c r="A31" s="193"/>
      <c r="B31" s="193"/>
      <c r="C31" s="186"/>
      <c r="D31" s="173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3"/>
      <c r="U31" s="122"/>
      <c r="V31" s="186"/>
      <c r="W31" s="173"/>
      <c r="X31" s="186"/>
      <c r="Y31" s="173"/>
      <c r="Z31" s="186"/>
      <c r="AA31" s="206"/>
      <c r="AB31" s="206"/>
      <c r="AC31" s="203"/>
      <c r="AD31" s="173"/>
      <c r="AE31" s="173"/>
      <c r="AF31" s="173"/>
      <c r="AG31" s="173"/>
      <c r="AH31" s="122"/>
      <c r="AI31" s="173"/>
      <c r="AJ31" s="173"/>
      <c r="AK31" s="122"/>
      <c r="AL31" s="173"/>
      <c r="AM31" s="173"/>
      <c r="AN31" s="186"/>
      <c r="AO31" s="173"/>
    </row>
    <row r="32" spans="1:52" ht="14.25" hidden="1" customHeight="1" thickBot="1" x14ac:dyDescent="0.25">
      <c r="A32" s="195" t="s">
        <v>66</v>
      </c>
      <c r="B32" s="196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7"/>
      <c r="B33" s="198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4">C34*D34</f>
        <v>16542.096000000001</v>
      </c>
      <c r="W34" s="75">
        <v>0.06</v>
      </c>
      <c r="X34" s="60">
        <f t="shared" ref="X34:X52" si="55">W34*C34</f>
        <v>2001.06</v>
      </c>
      <c r="Y34" s="57">
        <v>0.40899999999999997</v>
      </c>
      <c r="Z34" s="65">
        <f t="shared" ref="Z34:Z52" si="56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4"/>
        <v>2648.64</v>
      </c>
      <c r="W35" s="75">
        <v>0.15</v>
      </c>
      <c r="X35" s="60">
        <f t="shared" si="55"/>
        <v>801</v>
      </c>
      <c r="Y35" s="57">
        <v>0.40899999999999997</v>
      </c>
      <c r="Z35" s="66">
        <f t="shared" si="56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4"/>
        <v>2518.192</v>
      </c>
      <c r="W36" s="75">
        <v>0.15</v>
      </c>
      <c r="X36" s="60">
        <f t="shared" si="55"/>
        <v>761.55</v>
      </c>
      <c r="Y36" s="57">
        <v>0.40899999999999997</v>
      </c>
      <c r="Z36" s="66">
        <f t="shared" si="56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4"/>
        <v>3154.0639999999999</v>
      </c>
      <c r="W37" s="75">
        <v>0.15</v>
      </c>
      <c r="X37" s="60">
        <f t="shared" si="55"/>
        <v>953.84999999999991</v>
      </c>
      <c r="Y37" s="57">
        <v>0.40899999999999997</v>
      </c>
      <c r="Z37" s="66">
        <f t="shared" si="56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4"/>
        <v>2334.672</v>
      </c>
      <c r="W38" s="75">
        <v>0.2</v>
      </c>
      <c r="X38" s="60">
        <f t="shared" si="55"/>
        <v>941.40000000000009</v>
      </c>
      <c r="Y38" s="57">
        <v>0.40899999999999997</v>
      </c>
      <c r="Z38" s="66">
        <f t="shared" si="56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4"/>
        <v>1121.8125</v>
      </c>
      <c r="W39" s="75">
        <v>0.3</v>
      </c>
      <c r="X39" s="60">
        <f t="shared" si="55"/>
        <v>562.5</v>
      </c>
      <c r="Y39" s="57">
        <v>0.23</v>
      </c>
      <c r="Z39" s="66">
        <f t="shared" si="56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4"/>
        <v>1503.5279</v>
      </c>
      <c r="W40" s="75">
        <v>0.3</v>
      </c>
      <c r="X40" s="60">
        <f t="shared" si="55"/>
        <v>753.9</v>
      </c>
      <c r="Y40" s="57">
        <v>0.23</v>
      </c>
      <c r="Z40" s="66">
        <f t="shared" si="56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4"/>
        <v>355.98850000000004</v>
      </c>
      <c r="W41" s="75">
        <v>0.5</v>
      </c>
      <c r="X41" s="60">
        <f t="shared" si="55"/>
        <v>297.5</v>
      </c>
      <c r="Y41" s="57">
        <v>0.23</v>
      </c>
      <c r="Z41" s="66">
        <f t="shared" si="56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4"/>
        <v>1340.192</v>
      </c>
      <c r="W42" s="75">
        <v>0.3</v>
      </c>
      <c r="X42" s="60">
        <f t="shared" si="55"/>
        <v>672</v>
      </c>
      <c r="Y42" s="57">
        <v>0.23</v>
      </c>
      <c r="Z42" s="66">
        <f t="shared" si="56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4"/>
        <v>230.94380000000001</v>
      </c>
      <c r="W43" s="75">
        <v>0.5</v>
      </c>
      <c r="X43" s="60">
        <f t="shared" si="55"/>
        <v>193</v>
      </c>
      <c r="Y43" s="57">
        <v>0.23</v>
      </c>
      <c r="Z43" s="66">
        <f t="shared" si="56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4"/>
        <v>0</v>
      </c>
      <c r="W44" s="61"/>
      <c r="X44" s="60">
        <f t="shared" si="55"/>
        <v>0</v>
      </c>
      <c r="Y44" s="71"/>
      <c r="Z44" s="60">
        <f t="shared" si="56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4"/>
        <v>0</v>
      </c>
      <c r="W45" s="61"/>
      <c r="X45" s="60">
        <f t="shared" si="55"/>
        <v>0</v>
      </c>
      <c r="Y45" s="71"/>
      <c r="Z45" s="60">
        <f t="shared" si="56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4"/>
        <v>0</v>
      </c>
      <c r="W46" s="61"/>
      <c r="X46" s="60">
        <f t="shared" si="55"/>
        <v>0</v>
      </c>
      <c r="Y46" s="71"/>
      <c r="Z46" s="60">
        <f t="shared" si="56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4"/>
        <v>0</v>
      </c>
      <c r="W47" s="61"/>
      <c r="X47" s="60">
        <f t="shared" si="55"/>
        <v>0</v>
      </c>
      <c r="Y47" s="71"/>
      <c r="Z47" s="60">
        <f t="shared" si="56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4"/>
        <v>0</v>
      </c>
      <c r="W48" s="61"/>
      <c r="X48" s="60">
        <f t="shared" si="55"/>
        <v>0</v>
      </c>
      <c r="Y48" s="71"/>
      <c r="Z48" s="60">
        <f t="shared" si="56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4"/>
        <v>0</v>
      </c>
      <c r="W49" s="61"/>
      <c r="X49" s="60">
        <f t="shared" si="55"/>
        <v>0</v>
      </c>
      <c r="Y49" s="71"/>
      <c r="Z49" s="60">
        <f t="shared" si="56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4"/>
        <v>0</v>
      </c>
      <c r="W50" s="61"/>
      <c r="X50" s="60">
        <f t="shared" si="55"/>
        <v>0</v>
      </c>
      <c r="Y50" s="71"/>
      <c r="Z50" s="60">
        <f t="shared" si="56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4"/>
        <v>0</v>
      </c>
      <c r="W51" s="61"/>
      <c r="X51" s="60">
        <f t="shared" si="55"/>
        <v>0</v>
      </c>
      <c r="Y51" s="71"/>
      <c r="Z51" s="60">
        <f t="shared" si="56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4"/>
        <v>0</v>
      </c>
      <c r="W52" s="61"/>
      <c r="X52" s="60">
        <f t="shared" si="55"/>
        <v>0</v>
      </c>
      <c r="Y52" s="71"/>
      <c r="Z52" s="60">
        <f t="shared" si="56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9" t="s">
        <v>0</v>
      </c>
      <c r="B53" s="200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AN29:AN31"/>
    <mergeCell ref="AO29:AO31"/>
    <mergeCell ref="Z29:Z31"/>
    <mergeCell ref="AA29:AA31"/>
    <mergeCell ref="AB29:A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8:B8"/>
    <mergeCell ref="A7:B7"/>
    <mergeCell ref="A22:B22"/>
    <mergeCell ref="A29:A31"/>
    <mergeCell ref="B29:B31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29"/>
  <sheetViews>
    <sheetView topLeftCell="A7" zoomScaleNormal="100" zoomScaleSheetLayoutView="115" workbookViewId="0">
      <selection activeCell="F21" sqref="F21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9"/>
      <c r="S1" s="209"/>
      <c r="T1" s="209"/>
    </row>
    <row r="2" spans="1:20" s="83" customFormat="1" ht="17.649999999999999" customHeight="1" x14ac:dyDescent="0.35">
      <c r="A2" s="171">
        <f ca="1">NOW()</f>
        <v>43418.738688078702</v>
      </c>
      <c r="B2" s="171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2" t="s">
        <v>1</v>
      </c>
      <c r="B8" s="172" t="s">
        <v>2</v>
      </c>
      <c r="C8" s="173" t="s">
        <v>96</v>
      </c>
      <c r="D8" s="172" t="s">
        <v>106</v>
      </c>
      <c r="E8" s="170" t="s">
        <v>113</v>
      </c>
      <c r="F8" s="172" t="s">
        <v>107</v>
      </c>
      <c r="G8" s="172" t="s">
        <v>108</v>
      </c>
      <c r="H8" s="172" t="s">
        <v>109</v>
      </c>
      <c r="I8" s="172" t="s">
        <v>110</v>
      </c>
      <c r="J8" s="170" t="s">
        <v>97</v>
      </c>
      <c r="K8" s="170" t="s">
        <v>165</v>
      </c>
      <c r="L8" s="207" t="s">
        <v>114</v>
      </c>
    </row>
    <row r="9" spans="1:20" s="83" customFormat="1" ht="13.15" customHeight="1" x14ac:dyDescent="0.2">
      <c r="A9" s="172"/>
      <c r="B9" s="172"/>
      <c r="C9" s="173"/>
      <c r="D9" s="172"/>
      <c r="E9" s="170"/>
      <c r="F9" s="172"/>
      <c r="G9" s="172"/>
      <c r="H9" s="172"/>
      <c r="I9" s="172"/>
      <c r="J9" s="170"/>
      <c r="K9" s="170"/>
      <c r="L9" s="208"/>
    </row>
    <row r="10" spans="1:20" s="83" customFormat="1" ht="100.5" customHeight="1" x14ac:dyDescent="0.2">
      <c r="A10" s="172"/>
      <c r="B10" s="172"/>
      <c r="C10" s="173"/>
      <c r="D10" s="172"/>
      <c r="E10" s="170"/>
      <c r="F10" s="172"/>
      <c r="G10" s="172"/>
      <c r="H10" s="172"/>
      <c r="I10" s="172"/>
      <c r="J10" s="170"/>
      <c r="K10" s="170"/>
      <c r="L10" s="175"/>
    </row>
    <row r="11" spans="1:20" s="93" customFormat="1" ht="27" customHeight="1" x14ac:dyDescent="0.2">
      <c r="A11" s="176" t="s">
        <v>41</v>
      </c>
      <c r="B11" s="177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8"/>
      <c r="B12" s="179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4" t="s">
        <v>0</v>
      </c>
      <c r="B26" s="174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2019</vt:lpstr>
      <vt:lpstr>ИНП2019</vt:lpstr>
      <vt:lpstr>ИБР2019</vt:lpstr>
      <vt:lpstr>Регион сбалансир 2019</vt:lpstr>
      <vt:lpstr>ИБР2019!Заголовки_для_печати</vt:lpstr>
      <vt:lpstr>ИНП2019!Заголовки_для_печати</vt:lpstr>
      <vt:lpstr>'Регион сбалансир 2019'!Заголовки_для_печати</vt:lpstr>
      <vt:lpstr>'Регион ФФПП 2019'!Заголовки_для_печати</vt:lpstr>
      <vt:lpstr>ИБР2019!Область_печати</vt:lpstr>
      <vt:lpstr>ИНП2019!Область_печати</vt:lpstr>
      <vt:lpstr>'Регион сбалансир 2019'!Область_печати</vt:lpstr>
      <vt:lpstr>'Регион ФФПП 2019'!Область_печати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2018-11-14T13:56:25Z</cp:lastPrinted>
  <dcterms:created xsi:type="dcterms:W3CDTF">1996-11-09T08:12:45Z</dcterms:created>
  <dcterms:modified xsi:type="dcterms:W3CDTF">2018-11-14T13:58:33Z</dcterms:modified>
</cp:coreProperties>
</file>